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hidePivotFieldList="1" defaultThemeVersion="166925"/>
  <mc:AlternateContent xmlns:mc="http://schemas.openxmlformats.org/markup-compatibility/2006">
    <mc:Choice Requires="x15">
      <x15ac:absPath xmlns:x15ac="http://schemas.microsoft.com/office/spreadsheetml/2010/11/ac" url="https://vivagov-my.sharepoint.com/personal/comunicaciones_viva_gov_co/Documents/SIG/SIG/2. MAPA RIESGOS/"/>
    </mc:Choice>
  </mc:AlternateContent>
  <xr:revisionPtr revIDLastSave="996" documentId="13_ncr:1_{1C022F57-7D1B-4C9A-8266-D3BA78260608}" xr6:coauthVersionLast="47" xr6:coauthVersionMax="47" xr10:uidLastSave="{584A9213-58C5-4285-975D-B89AA08B82E8}"/>
  <bookViews>
    <workbookView xWindow="28680" yWindow="-120" windowWidth="21840" windowHeight="13020" firstSheet="2" activeTab="2" xr2:uid="{E386A93A-E971-4076-A532-18D7ABEC9E2D}"/>
  </bookViews>
  <sheets>
    <sheet name="INSTRUCCIONES" sheetId="3" r:id="rId1"/>
    <sheet name="Validacion de datos" sheetId="2" state="hidden" r:id="rId2"/>
    <sheet name="MATRIZ DE RIESGOS CORRUPCION" sheetId="1" r:id="rId3"/>
    <sheet name="PROBABILIDAD" sheetId="6" r:id="rId4"/>
    <sheet name="IMPACTO" sheetId="7" r:id="rId5"/>
    <sheet name="MATRIZ DE CALOR RESIDUAL" sheetId="10" r:id="rId6"/>
    <sheet name="MATRIZ CALOR INHERENTE" sheetId="9" r:id="rId7"/>
    <sheet name="VALORACIÓN DE CONTROLES" sheetId="11" r:id="rId8"/>
  </sheets>
  <externalReferences>
    <externalReference r:id="rId9"/>
    <externalReference r:id="rId10"/>
  </externalReferences>
  <definedNames>
    <definedName name="_xlnm._FilterDatabase" localSheetId="2" hidden="1">'MATRIZ DE RIESGOS CORRUPCION'!$A$9:$AP$13</definedName>
    <definedName name="_xlnm.Print_Area" localSheetId="2">'MATRIZ DE RIESGOS CORRUPCION'!$A$1:$AL$38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1" l="1"/>
  <c r="AC25" i="1"/>
  <c r="AC26" i="1"/>
  <c r="AC27" i="1"/>
  <c r="AC28" i="1"/>
  <c r="AC29" i="1"/>
  <c r="AC30" i="1"/>
  <c r="AC31" i="1"/>
  <c r="AC32" i="1"/>
  <c r="AC33" i="1"/>
  <c r="AC34" i="1"/>
  <c r="AC35" i="1"/>
  <c r="AC36" i="1"/>
  <c r="AC37" i="1"/>
  <c r="AC38" i="1"/>
  <c r="AC39" i="1"/>
  <c r="AC40" i="1"/>
  <c r="AC41" i="1"/>
  <c r="T31" i="1"/>
  <c r="AH31" i="1" s="1"/>
  <c r="AG31" i="1" s="1"/>
  <c r="T32" i="1"/>
  <c r="T33" i="1"/>
  <c r="T34" i="1"/>
  <c r="T35" i="1"/>
  <c r="T36" i="1"/>
  <c r="T37" i="1"/>
  <c r="T38" i="1"/>
  <c r="AD38" i="1" s="1"/>
  <c r="T39" i="1"/>
  <c r="T40" i="1"/>
  <c r="T41" i="1"/>
  <c r="AH33" i="1"/>
  <c r="AH37" i="1"/>
  <c r="AG37" i="1"/>
  <c r="AF38" i="1"/>
  <c r="AE38" i="1"/>
  <c r="W35" i="1"/>
  <c r="W36" i="1"/>
  <c r="W37" i="1"/>
  <c r="W38" i="1"/>
  <c r="AH38" i="1" s="1"/>
  <c r="AG38" i="1" s="1"/>
  <c r="W39" i="1"/>
  <c r="X39" i="1" s="1"/>
  <c r="W40" i="1"/>
  <c r="W41" i="1"/>
  <c r="X41" i="1" s="1"/>
  <c r="K41" i="1"/>
  <c r="L41" i="1" s="1"/>
  <c r="M41" i="1" s="1"/>
  <c r="AH41" i="1" s="1"/>
  <c r="AG41" i="1" s="1"/>
  <c r="H41" i="1"/>
  <c r="C41" i="1"/>
  <c r="K40" i="1"/>
  <c r="L40" i="1" s="1"/>
  <c r="M40" i="1" s="1"/>
  <c r="H40" i="1"/>
  <c r="C40" i="1"/>
  <c r="K39" i="1"/>
  <c r="L39" i="1" s="1"/>
  <c r="M39" i="1" s="1"/>
  <c r="AH39" i="1" s="1"/>
  <c r="AG39" i="1" s="1"/>
  <c r="H39" i="1"/>
  <c r="C39" i="1"/>
  <c r="C37" i="1"/>
  <c r="K31" i="1"/>
  <c r="L31" i="1"/>
  <c r="H31" i="1"/>
  <c r="I31" i="1" s="1"/>
  <c r="K37" i="1"/>
  <c r="L37" i="1" s="1"/>
  <c r="M37" i="1" s="1"/>
  <c r="K38" i="1"/>
  <c r="L38" i="1" s="1"/>
  <c r="M38" i="1" s="1"/>
  <c r="G38" i="1"/>
  <c r="G37" i="1"/>
  <c r="H37" i="1"/>
  <c r="H38" i="1"/>
  <c r="K36" i="1"/>
  <c r="L36" i="1" s="1"/>
  <c r="M36" i="1" s="1"/>
  <c r="AH36" i="1" s="1"/>
  <c r="AG36" i="1" s="1"/>
  <c r="H36" i="1"/>
  <c r="C36" i="1"/>
  <c r="K35" i="1"/>
  <c r="L35" i="1" s="1"/>
  <c r="M35" i="1" s="1"/>
  <c r="AH35" i="1" s="1"/>
  <c r="AG35" i="1" s="1"/>
  <c r="H35" i="1"/>
  <c r="C35" i="1"/>
  <c r="AC15" i="1"/>
  <c r="AC16" i="1"/>
  <c r="AC17" i="1"/>
  <c r="AC18" i="1"/>
  <c r="AC19" i="1"/>
  <c r="AC20" i="1"/>
  <c r="AC21" i="1"/>
  <c r="AC22" i="1"/>
  <c r="AC23" i="1"/>
  <c r="AC24" i="1"/>
  <c r="X35" i="1"/>
  <c r="X38" i="1"/>
  <c r="AC14" i="1"/>
  <c r="C33" i="1"/>
  <c r="C30" i="1"/>
  <c r="AD37" i="1" l="1"/>
  <c r="X40" i="1"/>
  <c r="AH40" i="1"/>
  <c r="AG40" i="1" s="1"/>
  <c r="I39" i="1"/>
  <c r="N39" i="1"/>
  <c r="N40" i="1"/>
  <c r="I40" i="1"/>
  <c r="AD40" i="1" s="1"/>
  <c r="N41" i="1"/>
  <c r="I41" i="1"/>
  <c r="AD41" i="1" s="1"/>
  <c r="AD39" i="1"/>
  <c r="AD31" i="1"/>
  <c r="AI38" i="1"/>
  <c r="N31" i="1"/>
  <c r="I35" i="1"/>
  <c r="AD35" i="1" s="1"/>
  <c r="N35" i="1"/>
  <c r="N36" i="1"/>
  <c r="I36" i="1"/>
  <c r="AD36" i="1" s="1"/>
  <c r="N38" i="1"/>
  <c r="I38" i="1"/>
  <c r="N37" i="1"/>
  <c r="I37" i="1"/>
  <c r="C29" i="1"/>
  <c r="C25" i="1"/>
  <c r="C24" i="1"/>
  <c r="H16" i="1"/>
  <c r="I16" i="1" s="1"/>
  <c r="K16" i="1"/>
  <c r="L16" i="1" s="1"/>
  <c r="M16" i="1" s="1"/>
  <c r="T16" i="1"/>
  <c r="W16" i="1"/>
  <c r="X16" i="1" s="1"/>
  <c r="T15" i="1"/>
  <c r="T17" i="1"/>
  <c r="T18" i="1"/>
  <c r="T19" i="1"/>
  <c r="T20" i="1"/>
  <c r="T21" i="1"/>
  <c r="T22" i="1"/>
  <c r="T23" i="1"/>
  <c r="T24" i="1"/>
  <c r="T25" i="1"/>
  <c r="T26" i="1"/>
  <c r="T27" i="1"/>
  <c r="T28" i="1"/>
  <c r="T29" i="1"/>
  <c r="T30" i="1"/>
  <c r="T14" i="1"/>
  <c r="K15" i="1"/>
  <c r="K17" i="1"/>
  <c r="K18" i="1"/>
  <c r="K19" i="1"/>
  <c r="K20" i="1"/>
  <c r="K21" i="1"/>
  <c r="K22" i="1"/>
  <c r="K23" i="1"/>
  <c r="K24" i="1"/>
  <c r="K25" i="1"/>
  <c r="K26" i="1"/>
  <c r="K27" i="1"/>
  <c r="K28" i="1"/>
  <c r="K29" i="1"/>
  <c r="K30" i="1"/>
  <c r="K32" i="1"/>
  <c r="K33" i="1"/>
  <c r="K34" i="1"/>
  <c r="K14" i="1"/>
  <c r="AF37" i="1" l="1"/>
  <c r="AE37" i="1"/>
  <c r="AI37" i="1" s="1"/>
  <c r="AF40" i="1"/>
  <c r="AE40" i="1"/>
  <c r="AI40" i="1" s="1"/>
  <c r="AF35" i="1"/>
  <c r="AE35" i="1"/>
  <c r="AI35" i="1" s="1"/>
  <c r="AF36" i="1"/>
  <c r="AE36" i="1"/>
  <c r="AI36" i="1" s="1"/>
  <c r="AE31" i="1"/>
  <c r="AI31" i="1" s="1"/>
  <c r="AF31" i="1"/>
  <c r="AF41" i="1"/>
  <c r="AE41" i="1"/>
  <c r="AI41" i="1" s="1"/>
  <c r="AF39" i="1"/>
  <c r="AE39" i="1"/>
  <c r="AI39" i="1" s="1"/>
  <c r="AD16" i="1"/>
  <c r="AH16" i="1"/>
  <c r="AG16" i="1" s="1"/>
  <c r="AF16" i="1"/>
  <c r="AE16" i="1"/>
  <c r="N16" i="1"/>
  <c r="AI16" i="1" l="1"/>
  <c r="H14" i="1"/>
  <c r="I14" i="1" s="1"/>
  <c r="L14" i="1"/>
  <c r="M14" i="1" s="1"/>
  <c r="W14" i="1"/>
  <c r="X14" i="1" s="1"/>
  <c r="AH14" i="1"/>
  <c r="AG14" i="1" s="1"/>
  <c r="W20" i="1"/>
  <c r="X20" i="1" s="1"/>
  <c r="L20" i="1"/>
  <c r="H20" i="1"/>
  <c r="I20" i="1" s="1"/>
  <c r="C20" i="1"/>
  <c r="W22" i="1"/>
  <c r="X22" i="1" s="1"/>
  <c r="L22" i="1"/>
  <c r="M22" i="1" s="1"/>
  <c r="H22" i="1"/>
  <c r="I22" i="1" s="1"/>
  <c r="W21" i="1"/>
  <c r="X21" i="1" s="1"/>
  <c r="L21" i="1"/>
  <c r="M21" i="1" s="1"/>
  <c r="H21" i="1"/>
  <c r="I21" i="1" s="1"/>
  <c r="AD21" i="1" s="1"/>
  <c r="C21" i="1"/>
  <c r="W34" i="1"/>
  <c r="AH34" i="1"/>
  <c r="H34" i="1"/>
  <c r="W19" i="1"/>
  <c r="X19" i="1" s="1"/>
  <c r="L19" i="1"/>
  <c r="H19" i="1"/>
  <c r="I19" i="1" s="1"/>
  <c r="C19" i="1"/>
  <c r="X34" i="1" l="1"/>
  <c r="AD34" i="1"/>
  <c r="AD14" i="1"/>
  <c r="AE14" i="1" s="1"/>
  <c r="AI14" i="1" s="1"/>
  <c r="N14" i="1"/>
  <c r="AH22" i="1"/>
  <c r="AG22" i="1" s="1"/>
  <c r="AD22" i="1"/>
  <c r="N20" i="1"/>
  <c r="M20" i="1"/>
  <c r="AH20" i="1" s="1"/>
  <c r="AG20" i="1" s="1"/>
  <c r="AD20" i="1"/>
  <c r="N21" i="1"/>
  <c r="AE21" i="1"/>
  <c r="AF21" i="1"/>
  <c r="N22" i="1"/>
  <c r="AH21" i="1"/>
  <c r="AG21" i="1" s="1"/>
  <c r="I34" i="1"/>
  <c r="AD19" i="1"/>
  <c r="AF19" i="1" s="1"/>
  <c r="N19" i="1"/>
  <c r="M19" i="1"/>
  <c r="AH19" i="1" s="1"/>
  <c r="AG19" i="1" s="1"/>
  <c r="AF22" i="1" l="1"/>
  <c r="AE22" i="1"/>
  <c r="AF34" i="1"/>
  <c r="AF14" i="1"/>
  <c r="AI22" i="1"/>
  <c r="AE19" i="1"/>
  <c r="AI19" i="1" s="1"/>
  <c r="AF20" i="1"/>
  <c r="AE20" i="1"/>
  <c r="AI20" i="1" s="1"/>
  <c r="AI21" i="1"/>
  <c r="H28" i="1" l="1"/>
  <c r="T22" i="9"/>
  <c r="N6" i="9" l="1"/>
  <c r="T6" i="9"/>
  <c r="V6" i="9"/>
  <c r="X6" i="9"/>
  <c r="Z6" i="9"/>
  <c r="AB6" i="9"/>
  <c r="AD6" i="9"/>
  <c r="AF6" i="9"/>
  <c r="AH6" i="9"/>
  <c r="AJ6" i="9"/>
  <c r="AL6" i="9"/>
  <c r="T8" i="9"/>
  <c r="V8" i="9"/>
  <c r="X8" i="9"/>
  <c r="Z8" i="9"/>
  <c r="AB8" i="9"/>
  <c r="AD8" i="9"/>
  <c r="AF8" i="9"/>
  <c r="AH8" i="9"/>
  <c r="AJ8" i="9"/>
  <c r="T10" i="9"/>
  <c r="V10" i="9"/>
  <c r="X10" i="9"/>
  <c r="Z10" i="9"/>
  <c r="AB10" i="9"/>
  <c r="AD10" i="9"/>
  <c r="AF10" i="9"/>
  <c r="AH10" i="9"/>
  <c r="AJ10" i="9"/>
  <c r="T12" i="9"/>
  <c r="V12" i="9"/>
  <c r="X12" i="9"/>
  <c r="Z12" i="9"/>
  <c r="AB12" i="9"/>
  <c r="AD12" i="9"/>
  <c r="AF12" i="9"/>
  <c r="AH12" i="9"/>
  <c r="AJ12" i="9"/>
  <c r="N14" i="9"/>
  <c r="T14" i="9"/>
  <c r="V14" i="9"/>
  <c r="X14" i="9"/>
  <c r="Z14" i="9"/>
  <c r="AB14" i="9"/>
  <c r="AD14" i="9"/>
  <c r="AL14" i="9"/>
  <c r="AN14" i="9"/>
  <c r="AP14" i="9"/>
  <c r="T16" i="9"/>
  <c r="V16" i="9"/>
  <c r="X16" i="9"/>
  <c r="Z16" i="9"/>
  <c r="AB16" i="9"/>
  <c r="AD16" i="9"/>
  <c r="AL16" i="9"/>
  <c r="AN16" i="9"/>
  <c r="AP16" i="9"/>
  <c r="T18" i="9"/>
  <c r="V18" i="9"/>
  <c r="X18" i="9"/>
  <c r="Z18" i="9"/>
  <c r="AB18" i="9"/>
  <c r="AD18" i="9"/>
  <c r="AL18" i="9"/>
  <c r="AN18" i="9"/>
  <c r="AP18" i="9"/>
  <c r="T20" i="9"/>
  <c r="V20" i="9"/>
  <c r="X20" i="9"/>
  <c r="Z20" i="9"/>
  <c r="AB20" i="9"/>
  <c r="AD20" i="9"/>
  <c r="AL20" i="9"/>
  <c r="AN20" i="9"/>
  <c r="AP20" i="9"/>
  <c r="V22" i="9"/>
  <c r="X22" i="9"/>
  <c r="Z22" i="9"/>
  <c r="AB22" i="9"/>
  <c r="AD22" i="9"/>
  <c r="AL22" i="9"/>
  <c r="AN22" i="9"/>
  <c r="AP22" i="9"/>
  <c r="T24" i="9"/>
  <c r="V24" i="9"/>
  <c r="X24" i="9"/>
  <c r="Z24" i="9"/>
  <c r="AB24" i="9"/>
  <c r="AD24" i="9"/>
  <c r="AL24" i="9"/>
  <c r="AN24" i="9"/>
  <c r="AP24" i="9"/>
  <c r="T26" i="9"/>
  <c r="V26" i="9"/>
  <c r="X26" i="9"/>
  <c r="Z26" i="9"/>
  <c r="AB26" i="9"/>
  <c r="AD26" i="9"/>
  <c r="AL26" i="9"/>
  <c r="AN26" i="9"/>
  <c r="AP26" i="9"/>
  <c r="T28" i="9"/>
  <c r="V28" i="9"/>
  <c r="X28" i="9"/>
  <c r="Z28" i="9"/>
  <c r="AB28" i="9"/>
  <c r="AD28" i="9"/>
  <c r="AL28" i="9"/>
  <c r="AN28" i="9"/>
  <c r="AP28" i="9"/>
  <c r="N30" i="9"/>
  <c r="Z30" i="9"/>
  <c r="AB30" i="9"/>
  <c r="AD30" i="9"/>
  <c r="AF30" i="9"/>
  <c r="AH30" i="9"/>
  <c r="AJ30" i="9"/>
  <c r="AL30" i="9"/>
  <c r="AN30" i="9"/>
  <c r="AP30" i="9"/>
  <c r="Z32" i="9"/>
  <c r="AB32" i="9"/>
  <c r="AD32" i="9"/>
  <c r="AF32" i="9"/>
  <c r="AH32" i="9"/>
  <c r="AJ32" i="9"/>
  <c r="AL32" i="9"/>
  <c r="AN32" i="9"/>
  <c r="AP32" i="9"/>
  <c r="Z34" i="9"/>
  <c r="AB34" i="9"/>
  <c r="AD34" i="9"/>
  <c r="AF34" i="9"/>
  <c r="AH34" i="9"/>
  <c r="AJ34" i="9"/>
  <c r="AL34" i="9"/>
  <c r="AN34" i="9"/>
  <c r="AP34" i="9"/>
  <c r="Z36" i="9"/>
  <c r="AB36" i="9"/>
  <c r="AD36" i="9"/>
  <c r="AF36" i="9"/>
  <c r="AH36" i="9"/>
  <c r="AJ36" i="9"/>
  <c r="AL36" i="9"/>
  <c r="AN36" i="9"/>
  <c r="AP36" i="9"/>
  <c r="N38" i="9"/>
  <c r="P38" i="9"/>
  <c r="R38" i="9"/>
  <c r="T38" i="9"/>
  <c r="V38" i="9"/>
  <c r="X38" i="9"/>
  <c r="Z38" i="9"/>
  <c r="AB38" i="9"/>
  <c r="AD38" i="9"/>
  <c r="AF38" i="9"/>
  <c r="AH38" i="9"/>
  <c r="AJ38" i="9"/>
  <c r="AL38" i="9"/>
  <c r="AN38" i="9"/>
  <c r="AP38" i="9"/>
  <c r="N40" i="9"/>
  <c r="P40" i="9"/>
  <c r="R40" i="9"/>
  <c r="T40" i="9"/>
  <c r="V40" i="9"/>
  <c r="X40" i="9"/>
  <c r="Z40" i="9"/>
  <c r="AB40" i="9"/>
  <c r="AD40" i="9"/>
  <c r="AF40" i="9"/>
  <c r="AH40" i="9"/>
  <c r="AJ40" i="9"/>
  <c r="AL40" i="9"/>
  <c r="AN40" i="9"/>
  <c r="AP40" i="9"/>
  <c r="N42" i="9"/>
  <c r="P42" i="9"/>
  <c r="R42" i="9"/>
  <c r="T42" i="9"/>
  <c r="V42" i="9"/>
  <c r="X42" i="9"/>
  <c r="Z42" i="9"/>
  <c r="AB42" i="9"/>
  <c r="AD42" i="9"/>
  <c r="AF42" i="9"/>
  <c r="AH42" i="9"/>
  <c r="AJ42" i="9"/>
  <c r="AL42" i="9"/>
  <c r="AN42" i="9"/>
  <c r="AP42" i="9"/>
  <c r="N44" i="9"/>
  <c r="P44" i="9"/>
  <c r="R44" i="9"/>
  <c r="T44" i="9"/>
  <c r="V44" i="9"/>
  <c r="X44" i="9"/>
  <c r="Z44" i="9"/>
  <c r="AB44" i="9"/>
  <c r="AD44" i="9"/>
  <c r="AF44" i="9"/>
  <c r="AH44" i="9"/>
  <c r="AJ44" i="9"/>
  <c r="AL44" i="9"/>
  <c r="AN44" i="9"/>
  <c r="AP44" i="9"/>
  <c r="AI11" i="10"/>
  <c r="AI12" i="10"/>
  <c r="AI13" i="10"/>
  <c r="AI14" i="10"/>
  <c r="AI15" i="10"/>
  <c r="AI16" i="10"/>
  <c r="AI17" i="10"/>
  <c r="AI18" i="10"/>
  <c r="AI19" i="10"/>
  <c r="AI20" i="10"/>
  <c r="AI21" i="10"/>
  <c r="AI22" i="10"/>
  <c r="AI23" i="10"/>
  <c r="AI24" i="10"/>
  <c r="AI25" i="10"/>
  <c r="AI26" i="10"/>
  <c r="AI27" i="10"/>
  <c r="AI28" i="10"/>
  <c r="AI29" i="10"/>
  <c r="AI30" i="10"/>
  <c r="AI31" i="10"/>
  <c r="AI32" i="10"/>
  <c r="AI33" i="10"/>
  <c r="AI34" i="10"/>
  <c r="AI35" i="10"/>
  <c r="AI36" i="10"/>
  <c r="AI37" i="10"/>
  <c r="AI38" i="10"/>
  <c r="AI39" i="10"/>
  <c r="AI40" i="10"/>
  <c r="AI41" i="10"/>
  <c r="AI42" i="10"/>
  <c r="AI43" i="10"/>
  <c r="AI44" i="10"/>
  <c r="AI45" i="10"/>
  <c r="AI46" i="10"/>
  <c r="AI47" i="10"/>
  <c r="AI48" i="10"/>
  <c r="AI49" i="10"/>
  <c r="AI50" i="10"/>
  <c r="AI51" i="10"/>
  <c r="AI52" i="10"/>
  <c r="AI53" i="10"/>
  <c r="AI54" i="10"/>
  <c r="AI55" i="10"/>
  <c r="AM55" i="10"/>
  <c r="AL55" i="10"/>
  <c r="AK55" i="10"/>
  <c r="AJ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AM54" i="10"/>
  <c r="AL54" i="10"/>
  <c r="AK54" i="10"/>
  <c r="AJ54" i="10"/>
  <c r="AH54" i="10"/>
  <c r="AG54" i="10"/>
  <c r="AF54" i="10"/>
  <c r="AE54" i="10"/>
  <c r="AD54" i="10"/>
  <c r="AC54" i="10"/>
  <c r="AB54" i="10"/>
  <c r="AA54" i="10"/>
  <c r="Z54" i="10"/>
  <c r="Y54" i="10"/>
  <c r="X54" i="10"/>
  <c r="W54" i="10"/>
  <c r="V54" i="10"/>
  <c r="U54" i="10"/>
  <c r="T54" i="10"/>
  <c r="S54" i="10"/>
  <c r="R54" i="10"/>
  <c r="Q54" i="10"/>
  <c r="P54" i="10"/>
  <c r="O54" i="10"/>
  <c r="N54" i="10"/>
  <c r="M54" i="10"/>
  <c r="L54" i="10"/>
  <c r="K54" i="10"/>
  <c r="J54" i="10"/>
  <c r="AM53" i="10"/>
  <c r="AL53" i="10"/>
  <c r="AK53" i="10"/>
  <c r="AJ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AM52" i="10"/>
  <c r="AL52" i="10"/>
  <c r="AK52" i="10"/>
  <c r="AJ52" i="10"/>
  <c r="AH52" i="10"/>
  <c r="AG52" i="10"/>
  <c r="AF52" i="10"/>
  <c r="AE52" i="10"/>
  <c r="AD52" i="10"/>
  <c r="AC52" i="10"/>
  <c r="AB52" i="10"/>
  <c r="AA52" i="10"/>
  <c r="Z52" i="10"/>
  <c r="Y52" i="10"/>
  <c r="X52" i="10"/>
  <c r="W52" i="10"/>
  <c r="V52" i="10"/>
  <c r="U52" i="10"/>
  <c r="T52" i="10"/>
  <c r="S52" i="10"/>
  <c r="R52" i="10"/>
  <c r="Q52" i="10"/>
  <c r="P52" i="10"/>
  <c r="O52" i="10"/>
  <c r="N52" i="10"/>
  <c r="M52" i="10"/>
  <c r="L52" i="10"/>
  <c r="K52" i="10"/>
  <c r="J52" i="10"/>
  <c r="AM51" i="10"/>
  <c r="AL51" i="10"/>
  <c r="AK51" i="10"/>
  <c r="AJ51" i="10"/>
  <c r="AH51" i="10"/>
  <c r="AG51" i="10"/>
  <c r="AF51" i="10"/>
  <c r="AE51" i="10"/>
  <c r="AD51" i="10"/>
  <c r="AC51" i="10"/>
  <c r="AB51" i="10"/>
  <c r="AA51" i="10"/>
  <c r="Z51" i="10"/>
  <c r="Y51" i="10"/>
  <c r="X51" i="10"/>
  <c r="W51" i="10"/>
  <c r="V51" i="10"/>
  <c r="U51" i="10"/>
  <c r="T51" i="10"/>
  <c r="S51" i="10"/>
  <c r="R51" i="10"/>
  <c r="Q51" i="10"/>
  <c r="P51" i="10"/>
  <c r="O51" i="10"/>
  <c r="N51" i="10"/>
  <c r="M51" i="10"/>
  <c r="L51" i="10"/>
  <c r="K51" i="10"/>
  <c r="J51" i="10"/>
  <c r="AM50" i="10"/>
  <c r="AL50" i="10"/>
  <c r="AK50" i="10"/>
  <c r="AJ50" i="10"/>
  <c r="AH50" i="10"/>
  <c r="AG50" i="10"/>
  <c r="AF50" i="10"/>
  <c r="AE50" i="10"/>
  <c r="AD50" i="10"/>
  <c r="AC50" i="10"/>
  <c r="AB50" i="10"/>
  <c r="AA50" i="10"/>
  <c r="Z50" i="10"/>
  <c r="Y50" i="10"/>
  <c r="X50" i="10"/>
  <c r="W50" i="10"/>
  <c r="V50" i="10"/>
  <c r="U50" i="10"/>
  <c r="T50" i="10"/>
  <c r="S50" i="10"/>
  <c r="R50" i="10"/>
  <c r="Q50" i="10"/>
  <c r="P50" i="10"/>
  <c r="O50" i="10"/>
  <c r="N50" i="10"/>
  <c r="M50" i="10"/>
  <c r="L50" i="10"/>
  <c r="K50" i="10"/>
  <c r="J50" i="10"/>
  <c r="AM49" i="10"/>
  <c r="AL49" i="10"/>
  <c r="AK49" i="10"/>
  <c r="AJ49" i="10"/>
  <c r="AH49" i="10"/>
  <c r="AG49" i="10"/>
  <c r="AF49" i="10"/>
  <c r="AE49" i="10"/>
  <c r="AD49" i="10"/>
  <c r="AC49" i="10"/>
  <c r="AB49" i="10"/>
  <c r="AA49" i="10"/>
  <c r="Z49" i="10"/>
  <c r="Y49" i="10"/>
  <c r="X49" i="10"/>
  <c r="W49" i="10"/>
  <c r="V49" i="10"/>
  <c r="U49" i="10"/>
  <c r="T49" i="10"/>
  <c r="S49" i="10"/>
  <c r="R49" i="10"/>
  <c r="Q49" i="10"/>
  <c r="P49" i="10"/>
  <c r="O49" i="10"/>
  <c r="N49" i="10"/>
  <c r="M49" i="10"/>
  <c r="L49" i="10"/>
  <c r="K49" i="10"/>
  <c r="J49" i="10"/>
  <c r="AM48" i="10"/>
  <c r="AL48" i="10"/>
  <c r="AK48" i="10"/>
  <c r="AJ48" i="10"/>
  <c r="AH48" i="10"/>
  <c r="AG48" i="10"/>
  <c r="AF48" i="10"/>
  <c r="AE48" i="10"/>
  <c r="AD48" i="10"/>
  <c r="AC48" i="10"/>
  <c r="AB48" i="10"/>
  <c r="AA48" i="10"/>
  <c r="Z48" i="10"/>
  <c r="Y48" i="10"/>
  <c r="X48" i="10"/>
  <c r="W48" i="10"/>
  <c r="V48" i="10"/>
  <c r="U48" i="10"/>
  <c r="T48" i="10"/>
  <c r="S48" i="10"/>
  <c r="R48" i="10"/>
  <c r="Q48" i="10"/>
  <c r="P48" i="10"/>
  <c r="O48" i="10"/>
  <c r="N48" i="10"/>
  <c r="M48" i="10"/>
  <c r="L48" i="10"/>
  <c r="K48" i="10"/>
  <c r="J48" i="10"/>
  <c r="AM47" i="10"/>
  <c r="AL47" i="10"/>
  <c r="AK47" i="10"/>
  <c r="AJ47" i="10"/>
  <c r="AH47" i="10"/>
  <c r="AG47" i="10"/>
  <c r="AF47" i="10"/>
  <c r="AE47" i="10"/>
  <c r="AD47" i="10"/>
  <c r="AC47" i="10"/>
  <c r="AB47" i="10"/>
  <c r="AA47" i="10"/>
  <c r="Z47" i="10"/>
  <c r="Y47" i="10"/>
  <c r="X47" i="10"/>
  <c r="W47" i="10"/>
  <c r="V47" i="10"/>
  <c r="U47" i="10"/>
  <c r="T47" i="10"/>
  <c r="S47" i="10"/>
  <c r="R47" i="10"/>
  <c r="Q47" i="10"/>
  <c r="P47" i="10"/>
  <c r="O47" i="10"/>
  <c r="N47" i="10"/>
  <c r="M47" i="10"/>
  <c r="L47" i="10"/>
  <c r="K47" i="10"/>
  <c r="J47" i="10"/>
  <c r="AM46" i="10"/>
  <c r="AL46" i="10"/>
  <c r="AK46" i="10"/>
  <c r="AJ46" i="10"/>
  <c r="AH46" i="10"/>
  <c r="AG46" i="10"/>
  <c r="AF46" i="10"/>
  <c r="AE46" i="10"/>
  <c r="AD46" i="10"/>
  <c r="AC46" i="10"/>
  <c r="AB46" i="10"/>
  <c r="AA46" i="10"/>
  <c r="Z46" i="10"/>
  <c r="Y46" i="10"/>
  <c r="X46" i="10"/>
  <c r="W46" i="10"/>
  <c r="V46" i="10"/>
  <c r="U46" i="10"/>
  <c r="T46" i="10"/>
  <c r="S46" i="10"/>
  <c r="R46" i="10"/>
  <c r="Q46" i="10"/>
  <c r="P46" i="10"/>
  <c r="O46" i="10"/>
  <c r="N46" i="10"/>
  <c r="M46" i="10"/>
  <c r="L46" i="10"/>
  <c r="K46" i="10"/>
  <c r="J46" i="10"/>
  <c r="AM45" i="10"/>
  <c r="AL45" i="10"/>
  <c r="AK45" i="10"/>
  <c r="AJ45" i="10"/>
  <c r="AH45" i="10"/>
  <c r="AG45" i="10"/>
  <c r="AF45" i="10"/>
  <c r="AE45" i="10"/>
  <c r="AD45" i="10"/>
  <c r="AC45" i="10"/>
  <c r="AB45" i="10"/>
  <c r="AA45" i="10"/>
  <c r="Z45" i="10"/>
  <c r="Y45" i="10"/>
  <c r="X45" i="10"/>
  <c r="W45" i="10"/>
  <c r="V45" i="10"/>
  <c r="U45" i="10"/>
  <c r="T45" i="10"/>
  <c r="S45" i="10"/>
  <c r="R45" i="10"/>
  <c r="Q45" i="10"/>
  <c r="P45" i="10"/>
  <c r="O45" i="10"/>
  <c r="N45" i="10"/>
  <c r="M45" i="10"/>
  <c r="L45" i="10"/>
  <c r="K45" i="10"/>
  <c r="J45" i="10"/>
  <c r="AM44" i="10"/>
  <c r="AL44" i="10"/>
  <c r="AK44" i="10"/>
  <c r="AJ44" i="10"/>
  <c r="AH44" i="10"/>
  <c r="AG44" i="10"/>
  <c r="AF44" i="10"/>
  <c r="AE44" i="10"/>
  <c r="AD44" i="10"/>
  <c r="AC44" i="10"/>
  <c r="AB44" i="10"/>
  <c r="AA44" i="10"/>
  <c r="Z44" i="10"/>
  <c r="Y44" i="10"/>
  <c r="X44" i="10"/>
  <c r="W44" i="10"/>
  <c r="V44" i="10"/>
  <c r="U44" i="10"/>
  <c r="T44" i="10"/>
  <c r="S44" i="10"/>
  <c r="R44" i="10"/>
  <c r="Q44" i="10"/>
  <c r="P44" i="10"/>
  <c r="O44" i="10"/>
  <c r="N44" i="10"/>
  <c r="M44" i="10"/>
  <c r="L44" i="10"/>
  <c r="K44" i="10"/>
  <c r="J44" i="10"/>
  <c r="AM43" i="10"/>
  <c r="AL43" i="10"/>
  <c r="AK43" i="10"/>
  <c r="AJ43" i="10"/>
  <c r="AH43" i="10"/>
  <c r="AG43" i="10"/>
  <c r="AF43" i="10"/>
  <c r="AE43" i="10"/>
  <c r="AD43" i="10"/>
  <c r="AC43" i="10"/>
  <c r="AB43" i="10"/>
  <c r="AA43" i="10"/>
  <c r="Z43" i="10"/>
  <c r="Y43" i="10"/>
  <c r="X43" i="10"/>
  <c r="W43" i="10"/>
  <c r="V43" i="10"/>
  <c r="U43" i="10"/>
  <c r="T43" i="10"/>
  <c r="S43" i="10"/>
  <c r="R43" i="10"/>
  <c r="Q43" i="10"/>
  <c r="P43" i="10"/>
  <c r="O43" i="10"/>
  <c r="N43" i="10"/>
  <c r="M43" i="10"/>
  <c r="L43" i="10"/>
  <c r="K43" i="10"/>
  <c r="J43" i="10"/>
  <c r="AM42" i="10"/>
  <c r="AL42" i="10"/>
  <c r="AK42" i="10"/>
  <c r="AJ42" i="10"/>
  <c r="AH42" i="10"/>
  <c r="AG42" i="10"/>
  <c r="AF42" i="10"/>
  <c r="AE42" i="10"/>
  <c r="AD42" i="10"/>
  <c r="AC42" i="10"/>
  <c r="AB42" i="10"/>
  <c r="AA42" i="10"/>
  <c r="Z42" i="10"/>
  <c r="Y42" i="10"/>
  <c r="X42" i="10"/>
  <c r="W42" i="10"/>
  <c r="V42" i="10"/>
  <c r="U42" i="10"/>
  <c r="T42" i="10"/>
  <c r="S42" i="10"/>
  <c r="R42" i="10"/>
  <c r="Q42" i="10"/>
  <c r="P42" i="10"/>
  <c r="O42" i="10"/>
  <c r="N42" i="10"/>
  <c r="M42" i="10"/>
  <c r="L42" i="10"/>
  <c r="K42" i="10"/>
  <c r="J42" i="10"/>
  <c r="AM41" i="10"/>
  <c r="AL41" i="10"/>
  <c r="AK41" i="10"/>
  <c r="AJ41" i="10"/>
  <c r="AH41" i="10"/>
  <c r="AG41" i="10"/>
  <c r="AF41" i="10"/>
  <c r="AE41" i="10"/>
  <c r="AD41" i="10"/>
  <c r="AC41" i="10"/>
  <c r="AB41" i="10"/>
  <c r="AA41" i="10"/>
  <c r="Z41" i="10"/>
  <c r="Y41" i="10"/>
  <c r="X41" i="10"/>
  <c r="W41" i="10"/>
  <c r="V41" i="10"/>
  <c r="U41" i="10"/>
  <c r="T41" i="10"/>
  <c r="S41" i="10"/>
  <c r="R41" i="10"/>
  <c r="Q41" i="10"/>
  <c r="P41" i="10"/>
  <c r="O41" i="10"/>
  <c r="N41" i="10"/>
  <c r="M41" i="10"/>
  <c r="L41" i="10"/>
  <c r="K41" i="10"/>
  <c r="J41" i="10"/>
  <c r="AM40" i="10"/>
  <c r="AL40" i="10"/>
  <c r="AK40" i="10"/>
  <c r="AJ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AM39" i="10"/>
  <c r="AL39" i="10"/>
  <c r="AK39" i="10"/>
  <c r="AJ39" i="10"/>
  <c r="AH39" i="10"/>
  <c r="AG39" i="10"/>
  <c r="AF39" i="10"/>
  <c r="AE39" i="10"/>
  <c r="AD39" i="10"/>
  <c r="AC39" i="10"/>
  <c r="AB39" i="10"/>
  <c r="AA39" i="10"/>
  <c r="Z39" i="10"/>
  <c r="Y39" i="10"/>
  <c r="X39" i="10"/>
  <c r="W39" i="10"/>
  <c r="V39" i="10"/>
  <c r="U39" i="10"/>
  <c r="T39" i="10"/>
  <c r="S39" i="10"/>
  <c r="R39" i="10"/>
  <c r="Q39" i="10"/>
  <c r="P39" i="10"/>
  <c r="O39" i="10"/>
  <c r="N39" i="10"/>
  <c r="M39" i="10"/>
  <c r="L39" i="10"/>
  <c r="K39" i="10"/>
  <c r="J39" i="10"/>
  <c r="AM38" i="10"/>
  <c r="AL38" i="10"/>
  <c r="AK38" i="10"/>
  <c r="AJ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AM37" i="10"/>
  <c r="AL37" i="10"/>
  <c r="AK37" i="10"/>
  <c r="AJ37" i="10"/>
  <c r="AH37" i="10"/>
  <c r="AG37" i="10"/>
  <c r="AF37" i="10"/>
  <c r="AE37" i="10"/>
  <c r="AD37" i="10"/>
  <c r="AC37" i="10"/>
  <c r="AB37" i="10"/>
  <c r="AA37" i="10"/>
  <c r="Z37" i="10"/>
  <c r="Y37" i="10"/>
  <c r="X37" i="10"/>
  <c r="W37" i="10"/>
  <c r="V37" i="10"/>
  <c r="U37" i="10"/>
  <c r="T37" i="10"/>
  <c r="S37" i="10"/>
  <c r="R37" i="10"/>
  <c r="Q37" i="10"/>
  <c r="P37" i="10"/>
  <c r="O37" i="10"/>
  <c r="N37" i="10"/>
  <c r="M37" i="10"/>
  <c r="L37" i="10"/>
  <c r="K37" i="10"/>
  <c r="J37" i="10"/>
  <c r="AM36" i="10"/>
  <c r="AL36" i="10"/>
  <c r="AK36" i="10"/>
  <c r="AJ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AM35" i="10"/>
  <c r="AL35" i="10"/>
  <c r="AK35" i="10"/>
  <c r="AJ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AM34" i="10"/>
  <c r="AL34" i="10"/>
  <c r="AK34" i="10"/>
  <c r="AJ34" i="10"/>
  <c r="AH34" i="10"/>
  <c r="AG34" i="10"/>
  <c r="AF34" i="10"/>
  <c r="AE34" i="10"/>
  <c r="AD34" i="10"/>
  <c r="AC34" i="10"/>
  <c r="AB34" i="10"/>
  <c r="AA34" i="10"/>
  <c r="Z34" i="10"/>
  <c r="Y34" i="10"/>
  <c r="X34" i="10"/>
  <c r="W34" i="10"/>
  <c r="V34" i="10"/>
  <c r="U34" i="10"/>
  <c r="T34" i="10"/>
  <c r="S34" i="10"/>
  <c r="R34" i="10"/>
  <c r="Q34" i="10"/>
  <c r="P34" i="10"/>
  <c r="O34" i="10"/>
  <c r="N34" i="10"/>
  <c r="M34" i="10"/>
  <c r="L34" i="10"/>
  <c r="K34" i="10"/>
  <c r="J34" i="10"/>
  <c r="AM33" i="10"/>
  <c r="AL33" i="10"/>
  <c r="AK33" i="10"/>
  <c r="AJ33" i="10"/>
  <c r="AH33" i="10"/>
  <c r="AG33" i="10"/>
  <c r="AF33" i="10"/>
  <c r="AE33" i="10"/>
  <c r="AD33" i="10"/>
  <c r="AC33" i="10"/>
  <c r="AB33" i="10"/>
  <c r="AA33" i="10"/>
  <c r="Z33" i="10"/>
  <c r="Y33" i="10"/>
  <c r="X33" i="10"/>
  <c r="W33" i="10"/>
  <c r="V33" i="10"/>
  <c r="U33" i="10"/>
  <c r="T33" i="10"/>
  <c r="S33" i="10"/>
  <c r="R33" i="10"/>
  <c r="Q33" i="10"/>
  <c r="P33" i="10"/>
  <c r="O33" i="10"/>
  <c r="N33" i="10"/>
  <c r="M33" i="10"/>
  <c r="L33" i="10"/>
  <c r="K33" i="10"/>
  <c r="J33" i="10"/>
  <c r="AM32" i="10"/>
  <c r="AL32" i="10"/>
  <c r="AK32" i="10"/>
  <c r="AJ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AM31" i="10"/>
  <c r="AL31" i="10"/>
  <c r="AK31" i="10"/>
  <c r="AJ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AM30" i="10"/>
  <c r="AL30" i="10"/>
  <c r="AK30" i="10"/>
  <c r="AJ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AM29" i="10"/>
  <c r="AL29" i="10"/>
  <c r="AK29" i="10"/>
  <c r="AJ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AM28" i="10"/>
  <c r="AL28" i="10"/>
  <c r="AK28" i="10"/>
  <c r="AJ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AM27" i="10"/>
  <c r="AL27" i="10"/>
  <c r="AK27" i="10"/>
  <c r="AJ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AM26" i="10"/>
  <c r="AL26" i="10"/>
  <c r="AK26" i="10"/>
  <c r="AJ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AM25" i="10"/>
  <c r="AL25" i="10"/>
  <c r="AK25" i="10"/>
  <c r="AJ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AM24" i="10"/>
  <c r="AL24" i="10"/>
  <c r="AK24" i="10"/>
  <c r="AJ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AM23" i="10"/>
  <c r="AL23" i="10"/>
  <c r="AK23" i="10"/>
  <c r="AJ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AM22" i="10"/>
  <c r="AL22" i="10"/>
  <c r="AK22" i="10"/>
  <c r="AJ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AM21" i="10"/>
  <c r="AL21" i="10"/>
  <c r="AK21" i="10"/>
  <c r="AJ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AM20" i="10"/>
  <c r="AL20" i="10"/>
  <c r="AK20" i="10"/>
  <c r="AJ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AM19" i="10"/>
  <c r="AL19" i="10"/>
  <c r="AK19" i="10"/>
  <c r="AJ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AM18" i="10"/>
  <c r="AL18" i="10"/>
  <c r="AK18" i="10"/>
  <c r="AJ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AM17" i="10"/>
  <c r="AL17" i="10"/>
  <c r="AK17" i="10"/>
  <c r="AJ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AM16" i="10"/>
  <c r="AL16" i="10"/>
  <c r="AK16" i="10"/>
  <c r="AJ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AM15" i="10"/>
  <c r="AL15" i="10"/>
  <c r="AK15" i="10"/>
  <c r="AJ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AM14" i="10"/>
  <c r="AL14" i="10"/>
  <c r="AK14" i="10"/>
  <c r="AJ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AM13" i="10"/>
  <c r="AL13" i="10"/>
  <c r="AK13" i="10"/>
  <c r="AJ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AM12" i="10"/>
  <c r="AL12" i="10"/>
  <c r="AK12" i="10"/>
  <c r="AJ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AM11" i="10"/>
  <c r="AL11" i="10"/>
  <c r="AK11" i="10"/>
  <c r="AJ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AM6" i="10"/>
  <c r="AL6" i="10"/>
  <c r="AK6" i="10"/>
  <c r="AJ6" i="10"/>
  <c r="AI6" i="10"/>
  <c r="AH6" i="10"/>
  <c r="AG6" i="10"/>
  <c r="AF6" i="10"/>
  <c r="AE6" i="10"/>
  <c r="AD6" i="10"/>
  <c r="AC6" i="10"/>
  <c r="AB6" i="10"/>
  <c r="AA6" i="10"/>
  <c r="Z6" i="10"/>
  <c r="Y6" i="10"/>
  <c r="X6" i="10"/>
  <c r="W6" i="10"/>
  <c r="V6" i="10"/>
  <c r="U6" i="10"/>
  <c r="T6" i="10"/>
  <c r="S6" i="10"/>
  <c r="R6" i="10"/>
  <c r="Q6" i="10"/>
  <c r="P6" i="10"/>
  <c r="O6" i="10"/>
  <c r="N6" i="10"/>
  <c r="M6" i="10"/>
  <c r="L6" i="10"/>
  <c r="K6" i="10"/>
  <c r="J6" i="10"/>
  <c r="H25" i="1" l="1"/>
  <c r="I25" i="1" s="1"/>
  <c r="L29" i="1"/>
  <c r="M29" i="1" s="1"/>
  <c r="L30" i="1"/>
  <c r="M30" i="1" s="1"/>
  <c r="H29" i="1"/>
  <c r="H30" i="1"/>
  <c r="W28" i="1"/>
  <c r="W29" i="1"/>
  <c r="W30" i="1"/>
  <c r="H27" i="1"/>
  <c r="I27" i="1" s="1"/>
  <c r="H26" i="1"/>
  <c r="I26" i="1" s="1"/>
  <c r="W25" i="1"/>
  <c r="W23" i="1"/>
  <c r="X23" i="1" s="1"/>
  <c r="W24" i="1"/>
  <c r="X24" i="1" s="1"/>
  <c r="W26" i="1"/>
  <c r="W27" i="1"/>
  <c r="W32" i="1"/>
  <c r="W33" i="1"/>
  <c r="H23" i="1"/>
  <c r="I23" i="1" s="1"/>
  <c r="L23" i="1"/>
  <c r="L24" i="1"/>
  <c r="M24" i="1" s="1"/>
  <c r="L25" i="1"/>
  <c r="L26" i="1"/>
  <c r="L27" i="1"/>
  <c r="M27" i="1" s="1"/>
  <c r="H24" i="1"/>
  <c r="I24" i="1" s="1"/>
  <c r="C23" i="1"/>
  <c r="X27" i="1" l="1"/>
  <c r="AD27" i="1"/>
  <c r="X26" i="1"/>
  <c r="AD26" i="1"/>
  <c r="X25" i="1"/>
  <c r="AD25" i="1"/>
  <c r="X33" i="1"/>
  <c r="AD33" i="1"/>
  <c r="X29" i="1"/>
  <c r="X28" i="1"/>
  <c r="X32" i="1"/>
  <c r="X30" i="1"/>
  <c r="AH29" i="1"/>
  <c r="AG29" i="1" s="1"/>
  <c r="N30" i="1"/>
  <c r="N29" i="1"/>
  <c r="AE25" i="1"/>
  <c r="I30" i="1"/>
  <c r="AD30" i="1" s="1"/>
  <c r="I29" i="1"/>
  <c r="AE27" i="1"/>
  <c r="N27" i="1"/>
  <c r="AE26" i="1"/>
  <c r="AH24" i="1"/>
  <c r="AG24" i="1" s="1"/>
  <c r="AD23" i="1"/>
  <c r="AF23" i="1" s="1"/>
  <c r="AH27" i="1"/>
  <c r="AG27" i="1" s="1"/>
  <c r="AD24" i="1"/>
  <c r="AE24" i="1" s="1"/>
  <c r="N24" i="1"/>
  <c r="N23" i="1"/>
  <c r="M23" i="1"/>
  <c r="AH23" i="1" s="1"/>
  <c r="AG23" i="1" s="1"/>
  <c r="N26" i="1"/>
  <c r="M26" i="1"/>
  <c r="AH26" i="1" s="1"/>
  <c r="AG26" i="1" s="1"/>
  <c r="N25" i="1"/>
  <c r="M25" i="1"/>
  <c r="AH25" i="1" s="1"/>
  <c r="AG25" i="1" s="1"/>
  <c r="W15" i="1"/>
  <c r="X15" i="1" s="1"/>
  <c r="W17" i="1"/>
  <c r="X17" i="1" s="1"/>
  <c r="L17" i="1"/>
  <c r="H17" i="1"/>
  <c r="I17" i="1" s="1"/>
  <c r="H18" i="1"/>
  <c r="H32" i="1"/>
  <c r="H33" i="1"/>
  <c r="AD29" i="1" l="1"/>
  <c r="AE29" i="1" s="1"/>
  <c r="AI25" i="1"/>
  <c r="AF25" i="1"/>
  <c r="AI26" i="1"/>
  <c r="AI29" i="1"/>
  <c r="AF29" i="1"/>
  <c r="AF26" i="1"/>
  <c r="AI27" i="1"/>
  <c r="AF27" i="1"/>
  <c r="AI24" i="1"/>
  <c r="AE23" i="1"/>
  <c r="AI23" i="1" s="1"/>
  <c r="AF24" i="1"/>
  <c r="N17" i="1"/>
  <c r="AD17" i="1"/>
  <c r="M17" i="1"/>
  <c r="AH17" i="1" s="1"/>
  <c r="AF17" i="1" l="1"/>
  <c r="W18" i="1" l="1"/>
  <c r="X18" i="1" s="1"/>
  <c r="AH30" i="1"/>
  <c r="AG30" i="1" l="1"/>
  <c r="H15" i="1"/>
  <c r="L18" i="1"/>
  <c r="L28" i="1"/>
  <c r="L32" i="1"/>
  <c r="M32" i="1" s="1"/>
  <c r="AH32" i="1" s="1"/>
  <c r="AG32" i="1" s="1"/>
  <c r="L33" i="1"/>
  <c r="L15" i="1"/>
  <c r="M15" i="1" s="1"/>
  <c r="AH15" i="1" s="1"/>
  <c r="L2" i="2"/>
  <c r="I28" i="1"/>
  <c r="AD28" i="1" s="1"/>
  <c r="I33" i="1"/>
  <c r="AF33" i="1" l="1"/>
  <c r="AE33" i="1"/>
  <c r="AF28" i="1"/>
  <c r="AE28" i="1"/>
  <c r="AE30" i="1"/>
  <c r="AI30" i="1" s="1"/>
  <c r="AF30" i="1"/>
  <c r="M18" i="1"/>
  <c r="AH18" i="1" s="1"/>
  <c r="AG18" i="1" s="1"/>
  <c r="N18" i="1"/>
  <c r="I15" i="1"/>
  <c r="AD15" i="1" s="1"/>
  <c r="N15" i="1"/>
  <c r="N28" i="1"/>
  <c r="M28" i="1"/>
  <c r="AH28" i="1" s="1"/>
  <c r="AG28" i="1" s="1"/>
  <c r="AG33" i="1"/>
  <c r="N33" i="1"/>
  <c r="N32" i="1"/>
  <c r="I18" i="1"/>
  <c r="AD18" i="1" s="1"/>
  <c r="AE18" i="1" s="1"/>
  <c r="I32" i="1"/>
  <c r="AD32" i="1" l="1"/>
  <c r="AF32" i="1" s="1"/>
  <c r="AI33" i="1"/>
  <c r="AE32" i="1"/>
  <c r="AI32" i="1" s="1"/>
  <c r="AI28" i="1"/>
  <c r="AI18" i="1"/>
  <c r="AF18" i="1"/>
  <c r="AF15" i="1"/>
  <c r="C18" i="1"/>
  <c r="C28" i="1"/>
  <c r="C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9" authorId="0" shapeId="0" xr:uid="{53C9D458-2610-4DDF-BD5F-A60FE5F728AE}">
      <text>
        <r>
          <rPr>
            <sz val="11"/>
            <color theme="1"/>
            <rFont val="Calibri"/>
            <family val="2"/>
            <scheme val="minor"/>
          </rPr>
          <t xml:space="preserve">
Este número consecutivo se utiliza para cada riesgo, empezando desde 1.</t>
        </r>
      </text>
    </comment>
    <comment ref="B9" authorId="0" shapeId="0" xr:uid="{73A494C5-70D9-47C8-A878-42627CA0DC67}">
      <text>
        <r>
          <rPr>
            <sz val="11"/>
            <color theme="1"/>
            <rFont val="Calibri"/>
            <family val="2"/>
            <scheme val="minor"/>
          </rPr>
          <t xml:space="preserve">
Elija de la lista desplegable  el nombre del proceso y de forma automática se generará el objetivo del mismo.</t>
        </r>
      </text>
    </comment>
  </commentList>
</comments>
</file>

<file path=xl/sharedStrings.xml><?xml version="1.0" encoding="utf-8"?>
<sst xmlns="http://schemas.openxmlformats.org/spreadsheetml/2006/main" count="803" uniqueCount="393">
  <si>
    <t>MATRIZ MAPA DE RIESGOS INSTRUCCIONES</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</si>
  <si>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Guía para la Administración del Riesgo y el diseño de controles V6. El formato cuenta con celdas parametrizadas y permite contar con los respectivos mapas de calor para riesgo inherente y riesgo residual</t>
  </si>
  <si>
    <t>CRITERIO</t>
  </si>
  <si>
    <t xml:space="preserve">EXPLICACIÓN </t>
  </si>
  <si>
    <t>PROCESO</t>
  </si>
  <si>
    <t>Diligencie el nombre del proceso al cual se le identificarán y valorarán los riesgos.</t>
  </si>
  <si>
    <t>OBJETIVO DEL PROCESO</t>
  </si>
  <si>
    <t>Al añadir  el nombre del proceso, automáticamente quedará el objetivo del proceso.</t>
  </si>
  <si>
    <t>DESCRIPCIÓN DEL RIESGO</t>
  </si>
  <si>
    <t xml:space="preserve">Consolida o resume los análisis sobre riesgo+ causa inmediata + causa raíz, permitiendo contar con una redacción clara y concreta del riesgo indentificado. </t>
  </si>
  <si>
    <t xml:space="preserve">CAUSA </t>
  </si>
  <si>
    <t>Circunstancias bajo las cuales se presenta el riesgo, es la situación más evidente frente al riesgo, redacte de la forma más concreta posible.</t>
  </si>
  <si>
    <t>CONSECUENCIA</t>
  </si>
  <si>
    <t>Indique los efectos generados por la ocurrencia de un riesgo que afecta los objetivos
o un proceso de la entidad. Pueden ser entre otros, una pérdida, un daño, un perjuicio, un detrimento, redacte de la forma más concreta posible.</t>
  </si>
  <si>
    <t>FRECUENCIA CON LA CUAL SE LLEVA A CABO LA ACTIVIDAD</t>
  </si>
  <si>
    <t>Defina el número de veces que se ejecuta la actividad durante el año, (Recuerde la probabilidad y ocurrencia del riesgo se defien como el No. de veces que se pasa por el punto de riesgo en el periodo de 1 año). La matriz automáticamente hará el cálculo para el nivel de probabilidad inherente.</t>
  </si>
  <si>
    <t>CRITERIOS DE IMPACTO</t>
  </si>
  <si>
    <t>Utilice la lista de despligue que se encuentra parametrizada, le aparecerán las opciones de la tabla de Impacto en la Hoja 6 del presente documento. La matriz automáticamente hará el cálculo para el nivel de impacto inherente</t>
  </si>
  <si>
    <t>ZONA DE RIESGO INHERENTE</t>
  </si>
  <si>
    <t>Teniendo en cuenta que ingresó la información de PROBABILIDAD e IMPACTO, la matriz automáticamente hará el cálculo para la zona de riesgo inherente</t>
  </si>
  <si>
    <t>DESCRIPCIÓN DEL CONTROL</t>
  </si>
  <si>
    <t>El control se define como la medida que permite reducir o mitigar un riesgo. Defina el control (es) que atacan la causa raíz del riesgo, considere la estructura explicada en la guía: Responsable de ejecutar el control + Acción + Complemento</t>
  </si>
  <si>
    <t>RESPONSABLE</t>
  </si>
  <si>
    <t>Señale el cargo o proceso responsable de ejecutar el control</t>
  </si>
  <si>
    <t>AFECTACIÓN</t>
  </si>
  <si>
    <t>Esta casilla no se diligencia, depende de la selección en la columna V.</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</si>
  <si>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</si>
  <si>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</si>
  <si>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</si>
  <si>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t>
  </si>
  <si>
    <r>
      <t xml:space="preserve">ATRIBUTOS INFORMATIVOS
</t>
    </r>
    <r>
      <rPr>
        <sz val="9"/>
        <rFont val="Arial Narrow"/>
        <family val="2"/>
      </rPr>
      <t>Documentación</t>
    </r>
  </si>
  <si>
    <t>Utilice la lista de despligue que se encuentra parametrizada, le aparecerán las opciones: i)Documentado, ii) No requiere documentación</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</si>
  <si>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</si>
  <si>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</si>
  <si>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</si>
  <si>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</si>
  <si>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</si>
  <si>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t>La matriz automáticamente hará el cálculo, acorde con el control o controles definidos con sus atributos analizados, lo que permitirá establecer el nivel de riesgo residual.</t>
  </si>
  <si>
    <t>TRATAMIENTO</t>
  </si>
  <si>
    <t>Después de realizar el análisis de los atributos, utilice la lista de despligue que se encuentra parametrizada, le aparecerán las opciones: i)Aceptar, ii)Evitar, iii)Reducir (compartir), iv)Reducir (mitigar).</t>
  </si>
  <si>
    <t>PLAN DE ACCIÓN</t>
  </si>
  <si>
    <t xml:space="preserve">Esta casilla dependerá del tratamiento establecido, si es Aceptar no se requieren acciones adicionales, en caso de escoger Reducir (mitigar) se deben diligenciar las acciones que se adelantarán como complemento a los controles establecidos (Plan de acción),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</si>
  <si>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</si>
  <si>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proceso, la selección en este caso dependerá de las acciones del plan que se hayan establecido en cada caso.</t>
  </si>
  <si>
    <t>NOMBRE DEL PROCESO</t>
  </si>
  <si>
    <t>CONTEXTO ESTRATÉGICO</t>
  </si>
  <si>
    <t>CLASIFICACIÓN DEL RIESGO</t>
  </si>
  <si>
    <t>CRITERIOS</t>
  </si>
  <si>
    <t>SUBCRITERIOS</t>
  </si>
  <si>
    <t>TIPO DE CONTROL</t>
  </si>
  <si>
    <t>IMPLEMENTACIÓN</t>
  </si>
  <si>
    <t>DOCUMENTACIÓN</t>
  </si>
  <si>
    <t>FRECUENCIA</t>
  </si>
  <si>
    <t>EVIDENCIA</t>
  </si>
  <si>
    <t>EFECTIVIDAD DEL CONTROL</t>
  </si>
  <si>
    <t>CALIFICACIÓN</t>
  </si>
  <si>
    <t>GESTIÓN ORGANIZACIONAL</t>
  </si>
  <si>
    <t>Establecer, implementar, mantener y mejorar el Sistema de Gestión con el propósito de fortalecer la mejora del desempeño de los procesos que permita responder al cumplimiento de los objetivos de la entidad y el cumplimiento de los requisitos legales, las necesidades y expectativas de los grupos de valor.</t>
  </si>
  <si>
    <t>ECONÓMICOS</t>
  </si>
  <si>
    <t>INFRAESTRUCTURA</t>
  </si>
  <si>
    <t>EJECUCIÓN Y ADMINISTRACIÓN DE PROCESOS</t>
  </si>
  <si>
    <t>Afectación Económica o presupuestal</t>
  </si>
  <si>
    <t>Afectación menor a 10 SMLMV .</t>
  </si>
  <si>
    <t>Detectivo</t>
  </si>
  <si>
    <t>Manual</t>
  </si>
  <si>
    <t>Documentado</t>
  </si>
  <si>
    <t>Continua</t>
  </si>
  <si>
    <t>Registro</t>
  </si>
  <si>
    <t>Alta</t>
  </si>
  <si>
    <t>Aceptar</t>
  </si>
  <si>
    <t xml:space="preserve">En proceso </t>
  </si>
  <si>
    <t xml:space="preserve">PLANEACIÓN ESTRATÉGICA </t>
  </si>
  <si>
    <t>Direccionar, orientar y articular los procesos organizacionales a traves de estrategias, metodologías e instrumentos que promueven y aseguran el mejoramiento continuo de la gestión y el cumplimiento de las metas institucionales.</t>
  </si>
  <si>
    <t>MEDIOAMBIENTALES</t>
  </si>
  <si>
    <t>PERSONAL</t>
  </si>
  <si>
    <t>FRAUDE EXTERNO</t>
  </si>
  <si>
    <t xml:space="preserve">Entre 10 y 50 SMLMV </t>
  </si>
  <si>
    <t xml:space="preserve">Afectación menor a 10 SMLMV </t>
  </si>
  <si>
    <t>Preventivo</t>
  </si>
  <si>
    <t>Automática</t>
  </si>
  <si>
    <t>No requiere documentación</t>
  </si>
  <si>
    <t>Aleatoria</t>
  </si>
  <si>
    <t>Sin registro</t>
  </si>
  <si>
    <t>Media</t>
  </si>
  <si>
    <t>Evitar</t>
  </si>
  <si>
    <t>Finalizado</t>
  </si>
  <si>
    <t>GESTIÓN DEL TALENTO HUMANO</t>
  </si>
  <si>
    <t>Planear, organizar, ejecutar y controlar las acciones que promuevan la gestión del talento humano en términos de la arquitectura organizacional, selección de personal, su capacitación, evaluación, reconocimiento de obligaciones salariales y prestacionales. Igualmente, promover y  mantener las condiciones de cultura organizacional, bienestar y calidad de vida,  logrando el cumplimiento de las estrategias y metas definidas por la empresa, asegurando un buen clima laboral  y  condiciones seguras de trabajo.  </t>
  </si>
  <si>
    <t>POLÍTICOS</t>
  </si>
  <si>
    <t>PROCESOS</t>
  </si>
  <si>
    <t>FRAUDE INTERNO</t>
  </si>
  <si>
    <t xml:space="preserve">Entre 50 y 100 SMLMV </t>
  </si>
  <si>
    <t>Correctivo</t>
  </si>
  <si>
    <t>Baja</t>
  </si>
  <si>
    <t>Reducir (compartir)</t>
  </si>
  <si>
    <t xml:space="preserve">GESTIÓN DE LAS COMUNICACIONES </t>
  </si>
  <si>
    <t>Liderar y gestionar la estrategia de comunicaciones y relaciones públicas de VIVA, con sus públicos de interés,  para reposicionar a la entidad como la empresa de vivienda de los antioqueños, contribuyendo a mejorar la satisfacción del ciudadano con una adecuada atención, a través de información efectiva con alianzas estratégicas, soportadas en la empatía, el rigor técnico y las capacidades individuales y colectivas.</t>
  </si>
  <si>
    <t>SOCIALES</t>
  </si>
  <si>
    <t>TECNOLOGÍA</t>
  </si>
  <si>
    <t>FALLAS TECNOLÓGICAS</t>
  </si>
  <si>
    <t xml:space="preserve">Entre 100 y 500 SMLMV </t>
  </si>
  <si>
    <t>Reducir (mitigar)</t>
  </si>
  <si>
    <t xml:space="preserve">GESTIÓN DE VIVIENDA Y HÁBITAT </t>
  </si>
  <si>
    <t>Diagnosticar, estructurar, formular, asesorar y acompañar los proyectos de Vivienda y Hábitat de la Empresa de Vivienda de Antioquia-VIVA, aplicando aprendizajes adquiridos mediante diversas herramientas de investigación  velando así por la innovación, la sostenibilidad, la gestión socio cultural y la integración de los proyectos en los territorios y las comunidades, para el cumplimiento de la misión de la Entidad respondiendo a los ODS.</t>
  </si>
  <si>
    <t>TECNOLÓGICOS</t>
  </si>
  <si>
    <t>RELACIONES LABORALES</t>
  </si>
  <si>
    <t xml:space="preserve">Mayor a 500 SMLMV </t>
  </si>
  <si>
    <t>GESTIÓN DE PROYECTOS</t>
  </si>
  <si>
    <t xml:space="preserve">Ejecutar y supervisar proyectos gestionados por la Empresa de Vivienda de Antioquia - VIVA con entidades públicas y privadas mediante control y seguimiento de los procesos y actividades derivados del ejercicio contractual de los contratos y/o convenidos celebrados por la entidad.
</t>
  </si>
  <si>
    <t>REPUTACIONALES</t>
  </si>
  <si>
    <t>USUARIOS, PRODUCTOS Y PRÁCTICAS</t>
  </si>
  <si>
    <t>Pérdida Reputacional</t>
  </si>
  <si>
    <t>El riesgo afecta la imagen de alguna área de la organización</t>
  </si>
  <si>
    <t xml:space="preserve">ADMINISTRACIÓN BANCO DE MATERIALES </t>
  </si>
  <si>
    <t>Promover y gestionar el suministro y entrega de materiales, maquinaria, equipos, herramientas, elementos de construcción y soluciones  integrales a través de la red de Aliados Estratégicos, para las entidades públicas y sin ánimo de lucro del orden local, departamental y nacional que se enfoquen en el desarrollo de proyectos de vivienda, mejoramientos de vivienda e infraestructura pública vinculados a los Planes de Desarrollo Municipales, Departamentales y Nacionales, así como los proyectos que desarrolla la Empresa de Vivienda de Antioquia VIVA.</t>
  </si>
  <si>
    <t>DAÑOS A ACTIVOS FIJOS/EVENTOS EXTERNOS</t>
  </si>
  <si>
    <t>El riesgo afecta la imagen de la entidad internamente, de conocimiento general, nivel interno, de junta dircetiva y accionistas y/o de provedores</t>
  </si>
  <si>
    <t>GESTIÓN SOCIOCULTURAL</t>
  </si>
  <si>
    <t>Acompañar a través de estrategias socioculturales a los entes territoriales del Departamento, a las familias antioqueñas beneficiarias de los proyectos en los que participa la Empresa de Vivienda de Antioquia –VIVA-, promoviendo el empoderamiento de las comunidades, la participación y el desarrollo de capacidades para lograr viviendas dignas, sostenibles y el mejoramiento de la calidad de vida.</t>
  </si>
  <si>
    <t>El riesgo afecta la imagen de la entidad con algunos usuarios de relevancia frente al logro de los objetivos</t>
  </si>
  <si>
    <t>GESTIÓN DE TITULACIÓN</t>
  </si>
  <si>
    <t>Asesorar y acompañar a los municipios y las dependencias de la organización en la gestión de titulación, legalización de predios, estudio de titulo para mejoramientos de vivienda, escrituración de vivienda nueva y crédito rotatorio de vivienda, y el saneamiento predial.</t>
  </si>
  <si>
    <t>El riesgo afecta la imagen de de la entidad con efecto publicitario sostenido a nivel de sector administrativo, nivel departamental o municipal</t>
  </si>
  <si>
    <t>ADMINISTRACIÓN FONDO ROTATORIO DE CRÉDITO</t>
  </si>
  <si>
    <t>Facilitar el mecanismo financiero y recurso para la compra de vivienda nueva, construcción en sitio propio, en proyectos de vivienda social, mejoramiento de vivienda y sustitución de deuda, dirigido a familias de bajos recursos en el Departamento de Antioquia, cuyos ingresos no superen cuatro (4) SMMLV.</t>
  </si>
  <si>
    <t>El riesgo afecta la imagen de la entidad a nivel nacional, con efecto publicitarios sostenible a nivel país</t>
  </si>
  <si>
    <t xml:space="preserve">GESTIÓN JURIDICA Y CONTRACTUAL </t>
  </si>
  <si>
    <t>Garantizar que las actuaciones jurídicas y contractuales se realicen de acuerdo a la normatividad vigente y aplicable a cada caso, evitando de esta manera el daño antijurídico y la materialización de riesgos, mediante actuaciones preventivas, el estudio riguroso de cada necesidad de VIVA.</t>
  </si>
  <si>
    <t>ADMINISTRACIÓN DE SEGURIDAD Y SALUD EN EL TRABAJO</t>
  </si>
  <si>
    <t>Diseñar y administrar el Sistema de gestión de seguridad y salud en el trabajo de la Empresa de Vivienda de Antioquia, mediante la ejecución de estrategias y métodos que permitan proteger la salud y la seguridad de todos los trabajadores, mediante la mejora continua, el control y monitoreo del mismo, asegurando el cumplimiento legal y el adecuado desempeño del SGSST.</t>
  </si>
  <si>
    <t xml:space="preserve">GESTIÓN FINANCIERA </t>
  </si>
  <si>
    <t>Administrar los recursos financieros de forma eficaz y eficiente para cumplir con las obligaciones de la Entidad en los diferentes procesos, respondiendo oportunamente a los requerimientos de los grupos de valor.</t>
  </si>
  <si>
    <t>Criterios</t>
  </si>
  <si>
    <t xml:space="preserve">GESTIÓN DE BIENES Y SERVICIOS </t>
  </si>
  <si>
    <t>Gestionar la adquisición y la administración de los Bienes y Servicios necesarios en la ejecución de las actividades de la Empresa de Vivienda de Antioquia-VIVA, para contribuir con el logro de los objetivos organizacionales, cumpliendo con los principios de la administración pública.</t>
  </si>
  <si>
    <t xml:space="preserve">GESTIÓN DOCUMENTAL </t>
  </si>
  <si>
    <t>Gestionar de manera eficiente la administración, manejo y custodia de los documentos generados en la entidad, para fortalecer eficazmente la gestión documental de la Empresa de Vivienda de Antioquia-VIVA, a través de los elementos técnicos, normativos y operativos necesarios para su adecuado funcionamiento.</t>
  </si>
  <si>
    <t>❌</t>
  </si>
  <si>
    <t xml:space="preserve">CONTROL INTERNO DISCIPLINARIO </t>
  </si>
  <si>
    <t>Tramitar la fase de instrucción de los procesos disciplinarios por la presunta comisión de conductas que puedan constituirse como falta disciplinaria y que le sea atribuible a los funcionarios y exfuncionarios de la Empresa de Vivienda de Antioquia – VIVA en el ejercicio de sus funciones, ejecutando los procesos administrativos pertinentes con el fin de determinar su responsabilidad conforme a la Constitución y la Ley.</t>
  </si>
  <si>
    <t>✔</t>
  </si>
  <si>
    <t xml:space="preserve">GESTIÓN DE INFORMACIÓN Y TECNOLOGÍA </t>
  </si>
  <si>
    <t>Fortalecer la confidencialidad, la integridad y disponibilidad de la información, mediante procedimientos, lineamientos y herramientas tecnológicas que generen cumplimiento y apoyo a los demás procesos de la entidad, enfocando los esfuerzos en la generación de cultura y cuidado de la seguridad informática</t>
  </si>
  <si>
    <t xml:space="preserve">EVALUACIÓN INDEPENDIENTE </t>
  </si>
  <si>
    <t>Evaluar de forma independiente y objetiva la gestión de los procesos institucionales, a través de seguimientos y auditorías que permitan generar alertas tempranas que contribuyan al mejoramiento continuo en la gestión de la Entidad de acuerdo con el plan anual de auditorías.</t>
  </si>
  <si>
    <t>CONTEXTO ORGANIZACIONAL</t>
  </si>
  <si>
    <t>Determinar los lineamientos estratégicos a partir del análisis del contexto interno y externo de VIVA, con la finalidad de obtener resultados para la toma de decisiones y acciones para asegurarse de la conveniencia, adecuación, eficacia y alineación continua del Sistema de Gestión que lleve al cumplimiento de su objeto social y al logro del éxito sostenido en su gestión, estableciendo parámetros generales de acción a cada uno de los procesos.</t>
  </si>
  <si>
    <t xml:space="preserve">GRUPO DE VALOR </t>
  </si>
  <si>
    <t>Gestionar las necesidades y expectativas de nuestros grupos de valor y partes interesadas a quienes va dirigida la gestión institucional de VIVA.</t>
  </si>
  <si>
    <t>MATRIZ DE RIESGOS DE CORRUPCIÓN</t>
  </si>
  <si>
    <t>OBJETIVO</t>
  </si>
  <si>
    <t>Liderar la política de administración de riesgos de la entidad mediante la identificación, análisis, valoración y tratamiento de los riesgos de corrupción con el fin de prevenir la materialización y/o minimizar el impacto permitiendo tomar decisiones en cada tipo de riesgo planificando enfocado a reducir, mitigar o eliminar los riesgos de corrupción potenciales de los diferentes procesos.</t>
  </si>
  <si>
    <t>ALCANCE</t>
  </si>
  <si>
    <t>Aplica para todos los procesos del Sistema de Gestión.</t>
  </si>
  <si>
    <t xml:space="preserve">Proceso de Planeación Estratégica y Gestión Organizacional </t>
  </si>
  <si>
    <t xml:space="preserve">CONTROL DE DCUMENTOS </t>
  </si>
  <si>
    <r>
      <rPr>
        <b/>
        <sz val="11"/>
        <rFont val="Arial"/>
        <family val="2"/>
      </rPr>
      <t xml:space="preserve">ELABORÓ: </t>
    </r>
    <r>
      <rPr>
        <sz val="11"/>
        <rFont val="Arial"/>
        <family val="2"/>
      </rPr>
      <t>Stefanía Acevedo Carvajal
Tecnóloga de Apoyo Gestión Organizacional</t>
    </r>
  </si>
  <si>
    <r>
      <rPr>
        <b/>
        <sz val="11"/>
        <color rgb="FF000000"/>
        <rFont val="Arial"/>
        <family val="2"/>
      </rPr>
      <t>REVISÓ:</t>
    </r>
    <r>
      <rPr>
        <sz val="11"/>
        <color rgb="FF000000"/>
        <rFont val="Arial"/>
        <family val="2"/>
      </rPr>
      <t xml:space="preserve"> Tatiana Andrea Maya Gutiérrez
Profesional Universitaria Gestión Organizacional</t>
    </r>
  </si>
  <si>
    <r>
      <rPr>
        <b/>
        <sz val="11"/>
        <color rgb="FF000000"/>
        <rFont val="Arial"/>
        <family val="2"/>
      </rPr>
      <t>APROBÓ:</t>
    </r>
    <r>
      <rPr>
        <sz val="11"/>
        <color rgb="FF000000"/>
        <rFont val="Arial"/>
        <family val="2"/>
      </rPr>
      <t xml:space="preserve"> Susana Andrea Gómez Zapata
Coordinadora de Gestión Organizacional</t>
    </r>
  </si>
  <si>
    <r>
      <rPr>
        <b/>
        <sz val="11"/>
        <color rgb="FF000000"/>
        <rFont val="Arial"/>
        <family val="2"/>
      </rPr>
      <t>CÓDIGO:</t>
    </r>
    <r>
      <rPr>
        <sz val="11"/>
        <color rgb="FF000000"/>
        <rFont val="Arial"/>
        <family val="2"/>
      </rPr>
      <t xml:space="preserve"> GEO-MT-11</t>
    </r>
  </si>
  <si>
    <t>VERSIÓN:</t>
  </si>
  <si>
    <t>CONSECUTIVO</t>
  </si>
  <si>
    <t>IDENTIFICACIÓN DEL RIESGO</t>
  </si>
  <si>
    <t xml:space="preserve">ANÁLISIS DEL RIESGO INHERENTE </t>
  </si>
  <si>
    <t>EVALUACIÓN DEL RIESGO-VALORACIÓN DE LOS CONTROLES</t>
  </si>
  <si>
    <t>EVALUACIÓN DEL RIESGO - NIVEL DE RIESGO RESIDUAL</t>
  </si>
  <si>
    <t xml:space="preserve">DESCRIPCIÓN DEL RIESGO
T POSIBILIDAD DE + Impacto para la entidad (Qué) </t>
  </si>
  <si>
    <t xml:space="preserve">CAUSAS
</t>
  </si>
  <si>
    <t>CONSECUENCIAS</t>
  </si>
  <si>
    <t>FRECUENCIA CON LA QUE SE REALIZA LA ACTIVIDAD</t>
  </si>
  <si>
    <t>PROBABILIDAD INHERENTE</t>
  </si>
  <si>
    <t>%</t>
  </si>
  <si>
    <t>CRITERIOS  DE IMPACTO</t>
  </si>
  <si>
    <t>OBSERVACIÓN DEL CRITERIO
 (NO DILIGENCIAR)</t>
  </si>
  <si>
    <t xml:space="preserve">IMPACTO INHERENTE </t>
  </si>
  <si>
    <t>N° CONTROL</t>
  </si>
  <si>
    <t>DESCRIPCIÓN DEL  CONTROL</t>
  </si>
  <si>
    <t xml:space="preserve">FRECUENCIA DE SEGUIMIENTO </t>
  </si>
  <si>
    <t>FECHA ÚLTIMA ACTUALIZACIÓN DEL RIESGO</t>
  </si>
  <si>
    <t>ATRIBUTOS</t>
  </si>
  <si>
    <t>PROBABILIDAD RESIDUAL</t>
  </si>
  <si>
    <t>PROBABILIDAD RESIDUAL FINAL</t>
  </si>
  <si>
    <t>IMPACTO RESIDUAL FINAL</t>
  </si>
  <si>
    <t>ZONA DE RIESGO FINAL</t>
  </si>
  <si>
    <t>TIPO</t>
  </si>
  <si>
    <t>Posibilidad de que por acción u omisión del operador disciplinario que pretende violar el debido proceso para obtener un provecho propio o ajeno, o para perjudicar a un tercero utilizando la averiguación disciplinaria que es de su competencia; o que por simple desconocimiento de la normatividad constitucional y legal profiera malas decisiones</t>
  </si>
  <si>
    <t xml:space="preserve">Intereses particulares o de terceros con los cuales se tenga relación en el ejercicio de sus funciones para obtener un beneficio.             </t>
  </si>
  <si>
    <t>Violación al debido proceso y/o incumplimiento de las obligaciones y funciones del operador disciplinario.</t>
  </si>
  <si>
    <r>
      <rPr>
        <sz val="11"/>
        <color rgb="FF000000"/>
        <rFont val="Arial"/>
      </rPr>
      <t>1.</t>
    </r>
    <r>
      <rPr>
        <sz val="7"/>
        <color rgb="FF000000"/>
        <rFont val="Times New Roman"/>
      </rPr>
      <t xml:space="preserve">     </t>
    </r>
    <r>
      <rPr>
        <sz val="11"/>
        <color rgb="FF000000"/>
        <rFont val="Arial"/>
      </rPr>
      <t>Se hace revisión y seguimiento permanente a los plazos o términos de los distintos procesos en curso.</t>
    </r>
  </si>
  <si>
    <t>Profesional de apoyo Jurídico</t>
  </si>
  <si>
    <t>Trimestral</t>
  </si>
  <si>
    <t xml:space="preserve">Falta de conocimiento o actualización en materia disciplinaria de los miembros del proceso. </t>
  </si>
  <si>
    <t>Investigaciones disciplinarias y penales y/o demandas judiciales o recursos extraordinarios de revisión.</t>
  </si>
  <si>
    <t xml:space="preserve">Capacitación al equipo de trabajo y mesas de estudio  </t>
  </si>
  <si>
    <t xml:space="preserve">Retroalimentación permanente al equipo de trabajo 
</t>
  </si>
  <si>
    <t>Posibilidad de no tramitar las averiguaciones disciplinarias por ineficiencia e incumplimiento de las funciones del operador disciplinario y sin la observancia de los términos legales</t>
  </si>
  <si>
    <t xml:space="preserve"> Inobservancia de los términos procesales en cada una de sus etapas.  </t>
  </si>
  <si>
    <t>Incumplimiento de las obligaciones y funciones del operador disciplinario e incumplimiento a los términos procesales.</t>
  </si>
  <si>
    <t>El profesional de apoyo Jurídico realiza la rvisión y seguimiento de los expedientes disciplinarios mediante el formato CID-FO-27</t>
  </si>
  <si>
    <t>Falta de conocimiento o actualización en materia disciplinaria de los miembros del proceso</t>
  </si>
  <si>
    <t>Investigaciones disciplinarias.</t>
  </si>
  <si>
    <t>Posibilidad de  corrupción por convocatorias de vivienda a empleados VIVA por cohecho y/u omisión  en la verificación de los requisitos exigidos para la asignación del beneficio.</t>
  </si>
  <si>
    <t xml:space="preserve">Desconocimiento del manejo del proceso de convocatorias de viviendas a empleados VIVA e inadecuada distribución de funciones del personal responsable de verificación de requisitos. </t>
  </si>
  <si>
    <t>Intervención por parte del proceso de Evaluación Independiente: (Sanciones)
Despidos de Personal) 
Reprocesos en la gestión.
Detrimento patrimonial.</t>
  </si>
  <si>
    <t>El jefe de talento humano realiza la  conformación del comité en razón de los empleos ocupados en la empresa asociados al saber requerido para este servicio</t>
  </si>
  <si>
    <t>Jefe de Talento Humano</t>
  </si>
  <si>
    <t>Validar el cumplimiento de los requisitos establecidos para la postulación y el desembolso del crédito VIVA Hogar, conforme a los lineamientos definidos en el Acuerdo 005 de 2022.</t>
  </si>
  <si>
    <t>Posibilidad de afectación reputacional por filtrar información durante las fases del proceso estadístico, antes de ser difundida oficialmente, en ejercicio de la facultad de incidir o decidir sobre esa información, desviando los principios de la función administrativa en beneficio propio y/o de terceros.</t>
  </si>
  <si>
    <t>Personas interesadas en obtener beneficio particular o para un tercero, aprovechando el manejo de la información estadística</t>
  </si>
  <si>
    <t>Sanciones disciplinarias a los responsables del manejo de la información de bases de datos.
Pérdida de confianza y credibilidad en la gestión de la Entidad.
Afectación de la información insumo para la toma de decisiones y formulación de políticas públicas.
Demandas en contra de la Entidad.
Renuencia de las fuentes a la entrega de información a causa de un mal tratamiento de la misma.</t>
  </si>
  <si>
    <t>El profesional de Planeación, el director, coordinador o quien se designe (Gestión de datos)se encarga de comunicar el manejo seguro de la información del proceso e implementar y mantener el OneDrive de la dirección de Planeación, para custodia de la información.</t>
  </si>
  <si>
    <t>Profesional de Planeación (Gestión de datos)
Dirección de Planeación</t>
  </si>
  <si>
    <t>Cambiar riesgo: Posible manipulación intencional de los indicadores del Plan de Desarrollo, mediante la modificación injustificada de los criterios de medición o el reporte de avances inexistentes, con el propósito de aparentar cumplimiento de metas, ocultar incumplimientos y obtener beneficios indebidos
Cambiar control: Concertación, revisión y aprobación previa del reporte de resultados de los indicadores del Plan de Desarrollo ante la Gobernación de Antioquia.</t>
  </si>
  <si>
    <t xml:space="preserve">Posibilidad de realizar actuaciones fraudulentas en el trámte de los procesos a cargo, desconociendo los requisitos legales en cada caso o direccionando su resultado en favor de terceros a cambio de un beneficio personal. </t>
  </si>
  <si>
    <t xml:space="preserve">Culpa por desconocimiento o falta de dilgencia. 
Dolo, por intención de obtener beneficio propio o de terceros. </t>
  </si>
  <si>
    <t>Creación de derechos u obligaciones contrarios a ley
Incursión en responsabilidades disciplinarias, administrativas, penales y fiscales.  
Deterioro de la imagen institucional.</t>
  </si>
  <si>
    <t xml:space="preserve">El director Jurídico o a quien este delegue realiza la conformación de Comité Técnico Estructurador para las modalidades de contratación establecidas en el Manual de Contratación vigente, que consta de un equipo de profesionales Jurídico, Técnico y Logístico, encargados de estructurar  el proceso contractual, adelantar el proceso de selección, elaborar el informe de evaluación y recomendar la aceptación de oferta basados en criterios objetivos y medibles. </t>
  </si>
  <si>
    <t>Director jurídico</t>
  </si>
  <si>
    <t xml:space="preserve">Cambiar redacción: El director Jurídico o a quien este delegue realiza la asignación del Rol jurídico para las actuacienes de las diferentes modalidades de contratación establecidas en el Manual de Contratación vigente, quien se encarga junto con los demás miembros del CTE de estructurar  el proceso contractual, adelantar el proceso de selección, elaborar el informe de evaluación y recomendar la aceptación de oferta basados en criterios objetivos y medibles. </t>
  </si>
  <si>
    <t xml:space="preserve">Posibilidad de afectación reputacional y contactual por seleccionar proveedores que no cumplan con los requisitos tecnicos, juridicos y financieros afectando la etapa de ejecucion de las diferentes actividades de la entidad </t>
  </si>
  <si>
    <t>Poca claridad en la designación de responsabilidades y autoridades para la ejecución de los procesos, exceso de poder.</t>
  </si>
  <si>
    <t xml:space="preserve">Detrimento del Patrimonio de la entidad
Deterioro de la imagen institucional
Poca credibilidad. </t>
  </si>
  <si>
    <t>El profesional universitario de Bienes y Servicios se encarga de realizar control y actualizacion en el manejo del aplicativo de proveedores  y verificacion del cumplimiento de requisitos de los proveedores para los procesos de selección mediante la plataforma secop.</t>
  </si>
  <si>
    <t>Profesional Universitario Bienes y Servicios</t>
  </si>
  <si>
    <t>El nivel de riesgo residual se encuentra en un nivel alto y cuenta con controles implementados que permiten su gestión y seguimiento, por lo cual la entidad decide aceptarlo y continuar con el monitoreo periódico de los controles existentes.</t>
  </si>
  <si>
    <t>Posibilidad de manipulación de la información de los inventarios, en ejercicio de la facultad de administrar los bienes destinados al funcionamiento de la entidad, desviando la tenencia de los mismos hacia el beneficio propio o de terceros</t>
  </si>
  <si>
    <t xml:space="preserve">Poco control en manejo de inventarios </t>
  </si>
  <si>
    <t>Investigaciones y sanciones disciplinarias.
Desgaste administrativo.
Afectación de la prestación del servicio.
Pérdida de bienes y de recursos</t>
  </si>
  <si>
    <t>El profesional universitario de Bienes y Servicios se encarga de  verificar la existencia de activos fijos en la entidad a través de una revisión física con el fin de confrontar los elementos que se encuentran a cargo de los servidores públicos y contratistas y su registro en el sistema.</t>
  </si>
  <si>
    <t xml:space="preserve">Posibilidad de que un servidor público de la entidad, no valide la información necesaria dentro de los procesos para darle gestión y aprobación dentro de la ejecución de proyectos. </t>
  </si>
  <si>
    <t xml:space="preserve">Falta de seguimiento a los informes de supervisión y/o comisión en la ejecución de los contratos y/o convenios </t>
  </si>
  <si>
    <t>Incumplimiento en su ejecución.
Sobrecostos  por incumplimiento y prórrogas indefinidas por la falta de coordinación y supervisión.</t>
  </si>
  <si>
    <t>El Director de Proyectos realiza el el seguimiento periódico de los contratos y/o convenios mediante informes de supervisión y/o comisión y da  cumplimiento a las listas de chequeo GDP-FO-05 y el GFR-FO-08</t>
  </si>
  <si>
    <t>Diirector de Proyectos</t>
  </si>
  <si>
    <t>Posibilidad de alteración o manipulación de la información sobre el resultado del desempeño de los procesos en beneficio propio o de terceros.</t>
  </si>
  <si>
    <t>Falta de seguimiento a la implementación del MGO y deficiencia en los controles para el manejo de la información que evidencia el desempeño de los procesos.</t>
  </si>
  <si>
    <t>Presentación de información inexacta, errónea o incompleta. 
Pérdida de imagen y credibilidad institucional.
Investigaciones penales, disciplinarias y fiscales.</t>
  </si>
  <si>
    <t>El Profesional Universitario Gestión Organizacional se encarga de realizar seguimiento trimestral al desempeño de los procesos, revisar los informes trimestrales de seguimiento al desempeño de los procesos y luego de esto evidenciar su aprobación alojándolos en la intranet.</t>
  </si>
  <si>
    <t>Profesional Universitario Gestión Organizacional</t>
  </si>
  <si>
    <t>El nivel de riesgo residual se encuentra en un nivel moderado y cuenta con controles implementados que permiten su gestión y seguimiento, por lo cual la entidad decide aceptarlo y continuar con el monitoreo periódico de los controles existentes.</t>
  </si>
  <si>
    <t>Posibilidad de manipulación de documentos de la entidad</t>
  </si>
  <si>
    <t>Acceso no controlado a documentos.</t>
  </si>
  <si>
    <t>Pérdida de integridad de la información
Sanciones legales a la entidad</t>
  </si>
  <si>
    <t>Implementación de controles de acceso y auditorías regulares</t>
  </si>
  <si>
    <t>Coordinador CAD</t>
  </si>
  <si>
    <t>Cambiar redacción, se unifica con el riesgo 3
Posibilidad de manipulación, alteración o eliminación indebida de documentos de la entidad mediante actos de soborno o cohecho, con el fin de favorecer intereses propios o de terceros.
Control: Implementar controles de acceso a la información, realizar auditorías internas periódicas y aplicar acuerdos de confidencialidad y principios de ética profesional, garantizando el cumplimiento de la Ley 594 de 2000, la Ley 1409 de 2010, la Ley 1952 de 2019 y demás disposiciones aplicables en materia de gestión documental</t>
  </si>
  <si>
    <t>Posibilidad de inexistencia de controles sobre el acceso a los documentos confidenciales de la entidad</t>
  </si>
  <si>
    <t>Falta de capacitación</t>
  </si>
  <si>
    <t xml:space="preserve">Afectación de la imagen institucional
Pérdida de confianza	</t>
  </si>
  <si>
    <t>Políticas de acceso estrictas, uso de autenticación multifactor</t>
  </si>
  <si>
    <t>Coordinador CAD - Coordinador TI</t>
  </si>
  <si>
    <t>El nivel de riesgo residual se encuentra en un nivel moderado y cuenta con controles implementados que permiten su gestión y seguimiento, por lo cual el proceso decide aceptarlo y continuar con el monitoreo periódico de los controles existentes.</t>
  </si>
  <si>
    <t xml:space="preserve">Posibilidad de soborno y cohecho con el fin de alterar o eliminar documentos </t>
  </si>
  <si>
    <t>Falta de ética.</t>
  </si>
  <si>
    <t>Pérdida de integridad
Sanciones legales
Pérdida reputacional</t>
  </si>
  <si>
    <t>Auditorías internas y externas, programas de ética y compliancia</t>
  </si>
  <si>
    <t>Gestión Organizacional - Control interno</t>
  </si>
  <si>
    <t>Eliminar</t>
  </si>
  <si>
    <t>El riesgo se unifica con el Riesgo 1</t>
  </si>
  <si>
    <t>Posibilidad de realizar la Titulacion de un predio sin el cumplimiento de los requisitos recibiendo dinero por realizar una titulación de manera de indebida</t>
  </si>
  <si>
    <t xml:space="preserve">Falta de ética y profesionalismo y deficiente revisión de los requisitos </t>
  </si>
  <si>
    <t>Pérdida de imagen y credibilidad institucional.
Investigaciones penales, disciplinarias y fiscales.</t>
  </si>
  <si>
    <t>La jefatura de Titulación trabaja directamente sin la intervención de operadores externos.</t>
  </si>
  <si>
    <t>Jefe de Titulación</t>
  </si>
  <si>
    <t>Posibilidad de que un integrante del equipo manipule o autoricen el desembolso de un crédito si cumplimiento de requisitos o a personas por beneficio propio.</t>
  </si>
  <si>
    <t>Falta de control o revisión de requisitos del fondo, falta de ética profesional, baja revisión técnica por parte del operador del fondo.</t>
  </si>
  <si>
    <t>Reprocesos y demoras en las aprobaciones de créditos.
Detrimento patrimonial
Sanciones a la entidad</t>
  </si>
  <si>
    <t>Seguimientos oportunos antes y durante el proceso de desembolso.</t>
  </si>
  <si>
    <t>Profesional de Unidad de Negocios</t>
  </si>
  <si>
    <t>Cambiar redacción: Realizar seguimiento oportuno antes y durante el proceso de desembolso, mediante la verificación del cumplimiento de los requisitos y condiciones establecidas.</t>
  </si>
  <si>
    <t>Posibilidad de gestionar  de manera errada las facturas al interior del banco virtual de materiales</t>
  </si>
  <si>
    <t>1. Poca claridad en la asignación de recursos: Si no se establecen procedimientos claros y precisos para asignar recursos a contratos específicos, existe un mayor riesgo de que los recursos se asignen incorrectamente a contratos equivocados.
2. Errores humanos en la asignación de recursos: La falta de atención, falta de capacitación o errores de comunicación entre el personal encargado de asignar los recursos pueden resultar en una asignación incorrecta a contratos equivocados.
3. Deficiencias en los sistemas y procesos de seguimiento: Si los sistemas de gestión y seguimiento de contratos no están bien implementados o no son adecuadamente actualizados, puede haber confusiones en la asignación de recursos y se corre el riesgo de que se destinen a contratos incorrectos.
4. Inadecuados controles internos: Si la organización no cuenta con mecanismos de control internos sólidos para verificar y validar la asignación de recursos a contratos, puede haber una mayor probabilidad de errores y apropiaciones incorrectas.
5. Poca supervisión y revisión: Si no se realiza una supervisión y revisión periódica de las asignaciones de recursos a contratos, los errores o apropiaciones incorrectas pueden pasar desapercibidos, lo que aumenta el riesgo de pérdida de recursos.</t>
  </si>
  <si>
    <t>1. Pérdida de recursos financieros por asignación incorrecta.
2. Ineficiencia en la ejecución de contratos debido a una mala asignación de recursos.
3. Riesgo de incumplimiento contractual por asignación incorrecta de recursos.
4.Impacto en la reputación de la organización debido a asignaciones incorrectas de recursos.
5. Pérdida de oportunidades de crecimiento por asignación incorrecta de recursos.
6. Retrasos en los pagos debido a facturación inadecuada.
7. Sanciones fiscales y legales por facturación incorrecta.
8. Problemas contables y de registro derivados de una mala facturación.
9. Pérdida de credibilidad por facturación inexacta o inadecuada.</t>
  </si>
  <si>
    <t>El Profesional Universitario de Unidad de Negocios realiza seguimiento a la gestión de facturas mediante el cuadro de mando o de ejecución de cada contrato y le estado de cartera de cada aliado estratégico.</t>
  </si>
  <si>
    <t>Nuevo Riesgo: Posibilidad de errores en la gestión y registro de facturas en el banco virtual de materiales, que puedan generar inconsistencias contables, reprocesos o afectaciones en el control de los recursos.
Nuevo control: Validación previa de requisitos y soportes para la gestión de facturas antes de la aprobación de la facrura, a través de la ejecución de cada contrato y el estado de cartera de cada aliado estratégico.</t>
  </si>
  <si>
    <t>Posibilidad de tener favoritismo en la gestión con aliados estratégicos o negociaciones que incumplan las políticas institucionales aprobadas por la alta dirección.</t>
  </si>
  <si>
    <t>Falta de controles específicos sobre la aplicación de criterios objetivos en la selección o gestión de aliados estratégicos afectando la transparencia y la integridad institucional.</t>
  </si>
  <si>
    <t>Pérdida de confianza institucional y afectación de la imagen pública.
Vulneración de los principios de transparencia y ética.
Sanciones disciplinarias o legales.
Deterioro de relaciones con otros aliados o partes interesadas.</t>
  </si>
  <si>
    <t>Verificación y aprobación previa por parte del Jefe de Negocios antes de formalizar cualquier negociación o convenio.</t>
  </si>
  <si>
    <t>Jefe de Negocios</t>
  </si>
  <si>
    <t>El nivel de riesgo residual se encuentra en un nivel medio y cuenta con controles implementados que permiten su gestión y seguimiento, por lo cual el proceso decide continuar con el monitoreo periódico de los controles existentes.</t>
  </si>
  <si>
    <t>Posibilidad que las cotizaciones generadas por la Administración  Banco de Materiales y los aliados estratégicos contengan irregularidades</t>
  </si>
  <si>
    <t>1. Las cotizaciones sufren el riesgo de no regirse por un proceso transparente, el cual puede ser permeado por conflictos de intereses, dependencia, poca diversificación de los aliados estratégicos o condiciones adversas del mercado.
2. Proceso poco claro de evaluación y seguimiento donde se identifique el comportamiento de los aliados estratégicos frente a los aspectos que la organización establezca importantes para la medición.</t>
  </si>
  <si>
    <t>1. Pérdida de tiempo y recursos por elección inadecuada de aliados estratégicos.
2. Aumento de costos debido a la falta de capacidad operativa de los aliados estratégicos.
3. Problemas de calidad por cambios no autorizados y falta de cumplimiento de estándares.
4. Daño a la imagen corporativa por incumplimiento de condiciones pactadas.</t>
  </si>
  <si>
    <t>El Profesional Universitario de Unidad de Negocios realiza seguimiento y evaluación a la propuesta económica, matriz lista de precios y evaluación de ejecución de los contratos.</t>
  </si>
  <si>
    <t>Posibilidad de que el equipo de trabajo de la Dirección de Control Interno oculten información relevante durante las auditorías o seguimientos con el propósito de favorecer a terceros. Este ocultamiento de información puede distorcionar los resultados de la auditoría o seguimientos, lo que podría conducir a decisiones incorrectas por parte de la Alta Dirección y potencialmente beneficiar a terceros en detrimento de la organización.</t>
  </si>
  <si>
    <t>Motivaciones personales o influencias internas o externas de la Entidad.</t>
  </si>
  <si>
    <t>Pérdida de credibilidad y reputación de la Dirección de Control Interno y sus funcionarios.
Toma de decisiones erróneas basadas en información incompleta o sesgada.</t>
  </si>
  <si>
    <t>El Director de Control Interno para las auditorías internas de gestión se encargará de que estas sean a través de la carta de compromiso y confidencialidad.</t>
  </si>
  <si>
    <t>Director de Control Interno</t>
  </si>
  <si>
    <t>El Director de Control Interno incluirá en los informes de seguimiento a los proyectos la descripción del método de selección de los convenios/contratos evaluados</t>
  </si>
  <si>
    <t>Posibilidad de desviación de fuentes para realizar proyectos o actividades que favorezcan un tercero</t>
  </si>
  <si>
    <t xml:space="preserve">Desconocimiento del personal en la normativa
Por beneficio propio o de terceros </t>
  </si>
  <si>
    <t>Sanciones por parte de los entes de control
Detrimento patrimonial
Investigaciones fiscales</t>
  </si>
  <si>
    <t>Capacitación al personal que elabora los CDP's
Designar solo a los funcionarios encargados del presupuesto la elaboración de CDP's</t>
  </si>
  <si>
    <t>Coodinadora Financiera</t>
  </si>
  <si>
    <t>Posibilidad de corrupción en la contratación de prestaciones de servicios para la ejecución de las actividades asociadas al proceso</t>
  </si>
  <si>
    <t>Intereses particulares o de terceros con los cuales se tenga relación en el ejercicio de sus funciones para obtener un beneficio.</t>
  </si>
  <si>
    <t>Violación al debido proceso y/o incumplimiento de las obligaciones y funciones del prestador de servicios</t>
  </si>
  <si>
    <t>Garantizar el debido proceso de contratación a través del apoyo del proceso Gestión de Bienes y Servicios</t>
  </si>
  <si>
    <t>Profesional Universitario SST</t>
  </si>
  <si>
    <t>Cambiar redacción riesgo: Posibilidad de actos de corrupción en la contratación de prestación de servicios para la ejecución de actividades asociadas al proceso, mediante el direccionamiento indebido, favorecimiento a terceros o incumplimiento de los principios de transparencia, selección objetiva y responsabilidad
Control: Evaluar  las especificaciones técnicas en el marco del proceso contractual y efectuar seguimiento a la ejecución del contrato mediante supervisión formalmente designada.</t>
  </si>
  <si>
    <t xml:space="preserve">Posibilidad de manipulación, ocultamiento o difusión indebida de información institucional a través de los canales de comunicación, con el fin de favorecer intereses particulares o afectar la transparencia de la entidad. </t>
  </si>
  <si>
    <t>*Divulgación selectiva o incompleta de la información.
*Falta de controles en la revisión de mensajes oficiales.
*Uso inadecuado de canales institucionales para fines personales o políticos.
*Debilidades en la capacitación en ética y transparencia en comunicaciones.</t>
  </si>
  <si>
    <t>*Deterioro de la imagen institucional.
*Pérdida de credibilidad frente a la ciudadanía.
*Riesgo de sanciones por incumplimiento de la Ley de Transparencia.
*Conflictos internos y externos derivados de la desinformación.</t>
  </si>
  <si>
    <t>*Protocolos de aprobación y validación de mensajes oficiales antes de su publicación.
*Política de uso de canales de comunicación institucional.</t>
  </si>
  <si>
    <t>Profesional Universitario Comunicaciones</t>
  </si>
  <si>
    <t>Semestral</t>
  </si>
  <si>
    <t> </t>
  </si>
  <si>
    <t>Posibilidad de pérdida de confianza en la entidad, por desinformación a la ciudadanía lo cual puede generar afectación de la reputación institucional y posibles investigaciones disciplinarias o legales.</t>
  </si>
  <si>
    <t xml:space="preserve">
*Uso inadecuado de canales institucionales para fines personales o políticos.
*Debilidades en la capacitación en ética y transparencia en comunicaciones.</t>
  </si>
  <si>
    <t>Capacitación periódica en ética, transparencia y comunicación responsable.
Monitoreo y auditoría interna de los contenidos divulgados.</t>
  </si>
  <si>
    <t>Posible manipulación o alteración en la elaboración o revisión del presupuesto de proyectos, con el fin de favorecer indebidamente al ejecutor.</t>
  </si>
  <si>
    <t>Falta de controles efectivos en la revisión y aprobación del presupuesto del proyecto.
Carencia de mecanismos de trazabilidad y transparencia en la información presupuestal.
Debilidad en la supervisión interna sobre los procesos de planeación financiera.</t>
  </si>
  <si>
    <t>Afectación de la transparencia y credibilidad institucional.
Detrimento patrimonial para la entidad.
Sanciones legales, disciplinarias o fiscales para los responsables.
Pérdida de confianza por parte de los entes de control y la ciudadanía.</t>
  </si>
  <si>
    <t>Revisar los presupuestos de cada proyecto en mesas técnicas de trabajo</t>
  </si>
  <si>
    <t>Coordinador de Vivienda y Hábitat y UTB</t>
  </si>
  <si>
    <t>A necesidad</t>
  </si>
  <si>
    <t>El nivel de riesgo residual se encuentra en un nivel moderado y cuenta con controles implementados que permiten su gestión y seguimiento, por lo cual la entidad decide continuar con el monitoreo periódico de los controles existentes.</t>
  </si>
  <si>
    <t>Riesgo de que personal interno o externo acceda a información sensible sin autorización y la utilice con fines personales o para beneficio de terceros.</t>
  </si>
  <si>
    <t>Falta de controles de acceso y autenticación segura en los sistemas.
Manejo inadecuado o compartición de contraseñas.
Ausencia de políticas claras sobre uso y protección de la información.
Insuficiente capacitación del personal en seguridad de la información.
Permisos de usuario otorgados sin aplicar el principio de mínimo privilegio.</t>
  </si>
  <si>
    <t>Divulgación no autorizada de información confidencial o sensible.
Pérdida de confianza institucional y afectación a la reputación.
Posibles sanciones legales o disciplinarias por incumplimiento normativo (Ley 1581 de 2012 – Protección de Datos Personales).
Uso indebido de la información para actos de corrupción o fraude.
Riesgo de manipulación de datos que afecte decisiones institucionales.</t>
  </si>
  <si>
    <t>Implementación de políticas de seguridad de la información y control de accesos.
Asignación de roles y permisos de acuerdo con las funciones y niveles de responsabilidad.
Capacitación, asesoria y/o  inducción periódicas en manejo y protección de la información.</t>
  </si>
  <si>
    <t>Profesional Universitario TI</t>
  </si>
  <si>
    <t>Habilitar o inhabilitar  a familias o personas postuladas en las distintas convocatorias de vivienda de la Empresa, con o sin el cumplimiento de requisitos de Ley.</t>
  </si>
  <si>
    <t>Motivaciones o intereses personales
Desconocimiento de la norma por parte del personal de la Empresa
Influencia externa a la entidad con carácter político o económico
Bajo nivel de planeación e incumplimiento de cronogramas de habilitación</t>
  </si>
  <si>
    <t>Posibles demandas a la Empresa
Aumento en las PQRS
Procesos disciplinarios a funcionarios de la Empresa
Detrimento de recursos públicos</t>
  </si>
  <si>
    <t>Capacitación sobre normativa de vivienda y subsidios al personal responsable de la habilitación
Revisión jurídica en el proceso de habilitación de postulados con casos excepcionales de Ley.
Capacitación sobre manejo de plataformas y bases de datos al personal responsable de la habilitación de beneficiarios.
Comunicación clara, precisa y justificada sobre los postulados habilitados y no habilitados con los municipios y la ciudadanía en general.</t>
  </si>
  <si>
    <t>Coordinador de Gestión Sociocultural</t>
  </si>
  <si>
    <t xml:space="preserve">TABLA DE PROBABILIDAD </t>
  </si>
  <si>
    <t>NIVEL</t>
  </si>
  <si>
    <t>FRECUENCIA DE LA ACTIVIDAD</t>
  </si>
  <si>
    <t>PROBABILIDAD</t>
  </si>
  <si>
    <t>Muy baja</t>
  </si>
  <si>
    <t>La actividad que conlleva el riesgo se ejecuta como máximo 2 veces por año</t>
  </si>
  <si>
    <t xml:space="preserve"> 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</si>
  <si>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</si>
  <si>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</si>
  <si>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</si>
  <si>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 xml:space="preserve"> La actividad que conlleva el riesgo se ejecuta más de 5000 veces por año.</t>
  </si>
  <si>
    <t>TABLA CRITERIOS PARA DEFINIR EL NIVEL DE IMPACTO</t>
  </si>
  <si>
    <t>Afectación Económica (o presupuestal)</t>
  </si>
  <si>
    <t>Leve 20%</t>
  </si>
  <si>
    <t xml:space="preserve">Menor-40% </t>
  </si>
  <si>
    <t>Moderado 60%</t>
  </si>
  <si>
    <t>Mayor 80%</t>
  </si>
  <si>
    <t>Catastrófico 100%</t>
  </si>
  <si>
    <t xml:space="preserve"> Matriz de Calor Residual</t>
  </si>
  <si>
    <t>Impacto</t>
  </si>
  <si>
    <t>Probabilidad</t>
  </si>
  <si>
    <t>Muy Alta
100%</t>
  </si>
  <si>
    <t>Extremo</t>
  </si>
  <si>
    <t>Alta
80%</t>
  </si>
  <si>
    <t>Alto</t>
  </si>
  <si>
    <t>Media
60%</t>
  </si>
  <si>
    <t>Moderado</t>
  </si>
  <si>
    <t>Baja
40%</t>
  </si>
  <si>
    <t>Bajo</t>
  </si>
  <si>
    <t>Muy Baja
20%</t>
  </si>
  <si>
    <t>Leve
20%</t>
  </si>
  <si>
    <t>Menor
40%</t>
  </si>
  <si>
    <t>Moderado
60%</t>
  </si>
  <si>
    <t>Mayor
80%</t>
  </si>
  <si>
    <t>Catastrófico
100%</t>
  </si>
  <si>
    <t>Matriz de Calor Inherente</t>
  </si>
  <si>
    <t>Tabla Atributos de para el diseño del control</t>
  </si>
  <si>
    <t>Características</t>
  </si>
  <si>
    <t>Descripción</t>
  </si>
  <si>
    <t>Peso</t>
  </si>
  <si>
    <t>Atributos de Eficiencia</t>
  </si>
  <si>
    <t>Tipo</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</si>
  <si>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</si>
  <si>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</si>
  <si>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</si>
  <si>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</si>
  <si>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</si>
  <si>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</si>
  <si>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</si>
  <si>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</si>
  <si>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Documentación</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</si>
  <si>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</si>
  <si>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</si>
  <si>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</si>
  <si>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</si>
  <si>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Frecuencia</t>
  </si>
  <si>
    <t>Este atributo identifica a los controles que se ejecutan siempre que se realiza la actividad originadora del riesgo.</t>
  </si>
  <si>
    <t>Este atributo identifica a los controles que no siempre se ejecutan cuando se realiza la actividad originadora del riesgo</t>
  </si>
  <si>
    <t>Evidencia</t>
  </si>
  <si>
    <t>Con Registro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</si>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</sst>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theme="1"/>
      <name val="Calibri"/>
      <family val="2"/>
      <scheme val="minor"/>
    </font>
    <font>
      <b/>
      <sz val="12"/>
      <color theme="1"/>
      <name val="Arial"/>
      <family val="2"/>
    </font>
    <font>
      <b/>
      <sz val="11"/>
      <name val="Arial"/>
      <family val="2"/>
    </font>
    <font>
      <sz val="11"/>
      <name val="Arial"/>
      <family val="2"/>
    </font>
    <font>
      <sz val="11"/>
      <color rgb="FF000000"/>
      <name val="Arial"/>
      <family val="2"/>
    </font>
    <font>
      <b/>
      <sz val="11"/>
      <color rgb="FF000000"/>
      <name val="Arial"/>
      <family val="2"/>
    </font>
    <font>
      <b/>
      <sz val="11"/>
      <color theme="1"/>
      <name val="Arial"/>
      <family val="2"/>
    </font>
    <font>
      <sz val="11"/>
      <color theme="1"/>
      <name val="Arial"/>
      <family val="2"/>
    </font>
    <font>
      <sz val="12"/>
      <name val="Arial"/>
      <family val="2"/>
    </font>
    <font>
      <b/>
      <sz val="12"/>
      <name val="Arial"/>
      <family val="2"/>
    </font>
    <font>
      <sz val="11"/>
      <color theme="1"/>
      <name val="Calibri"/>
      <family val="2"/>
    </font>
    <font>
      <sz val="10"/>
      <name val="Arial"/>
      <family val="2"/>
    </font>
    <font>
      <sz val="12"/>
      <color theme="1"/>
      <name val="Arial"/>
      <family val="2"/>
    </font>
    <font>
      <sz val="24"/>
      <name val="Arial"/>
      <family val="2"/>
    </font>
    <font>
      <sz val="11"/>
      <color rgb="FFFFFFFF"/>
      <name val="Arial"/>
      <family val="2"/>
    </font>
    <font>
      <b/>
      <sz val="12"/>
      <color rgb="FF000000"/>
      <name val="Arial"/>
      <family val="2"/>
    </font>
    <font>
      <b/>
      <sz val="11"/>
      <color theme="1"/>
      <name val="Arial Narrow"/>
      <family val="2"/>
    </font>
    <font>
      <sz val="11"/>
      <color theme="1"/>
      <name val="Arial Narrow"/>
      <family val="2"/>
    </font>
    <font>
      <sz val="11"/>
      <color rgb="FF030303"/>
      <name val="Arial"/>
      <family val="2"/>
    </font>
    <font>
      <sz val="12"/>
      <name val="Times New Roman"/>
      <family val="1"/>
    </font>
    <font>
      <b/>
      <sz val="9"/>
      <name val="Arial Narrow"/>
      <family val="2"/>
    </font>
    <font>
      <sz val="9"/>
      <name val="Arial Narrow"/>
      <family val="2"/>
    </font>
    <font>
      <sz val="8"/>
      <name val="Calibri"/>
      <family val="2"/>
      <scheme val="minor"/>
    </font>
    <font>
      <b/>
      <sz val="22"/>
      <color theme="1"/>
      <name val="Arial"/>
      <family val="2"/>
    </font>
    <font>
      <b/>
      <sz val="40"/>
      <color rgb="FF000000"/>
      <name val="Arial"/>
      <family val="2"/>
    </font>
    <font>
      <sz val="28"/>
      <color theme="1"/>
      <name val="Arial"/>
      <family val="2"/>
    </font>
    <font>
      <b/>
      <sz val="28"/>
      <color rgb="FF000000"/>
      <name val="Arial"/>
      <family val="2"/>
    </font>
    <font>
      <b/>
      <sz val="36"/>
      <color rgb="FF000000"/>
      <name val="Arial"/>
      <family val="2"/>
    </font>
    <font>
      <sz val="16"/>
      <color theme="1"/>
      <name val="Arial"/>
      <family val="2"/>
    </font>
    <font>
      <sz val="24"/>
      <color theme="1"/>
      <name val="Arial"/>
      <family val="2"/>
    </font>
    <font>
      <sz val="18"/>
      <color theme="1"/>
      <name val="Arial"/>
      <family val="2"/>
    </font>
    <font>
      <b/>
      <sz val="20"/>
      <color theme="1"/>
      <name val="Arial"/>
      <family val="2"/>
    </font>
    <font>
      <b/>
      <sz val="24"/>
      <color rgb="FF000000"/>
      <name val="Arial"/>
      <family val="2"/>
    </font>
    <font>
      <b/>
      <sz val="18"/>
      <color rgb="FF000000"/>
      <name val="Arial"/>
      <family val="2"/>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sz val="11"/>
      <color rgb="FF000000"/>
      <name val="Arial"/>
    </font>
    <font>
      <sz val="7"/>
      <color rgb="FF000000"/>
      <name val="Times New Roman"/>
    </font>
    <font>
      <sz val="11"/>
      <color rgb="FF000000"/>
      <name val="Arial"/>
      <family val="2"/>
      <charset val="1"/>
    </font>
  </fonts>
  <fills count="3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9" tint="0.39997558519241921"/>
        <bgColor rgb="FFDADADA"/>
      </patternFill>
    </fill>
    <fill>
      <patternFill patternType="solid">
        <fgColor rgb="FF00B050"/>
        <bgColor rgb="FFDADADA"/>
      </patternFill>
    </fill>
    <fill>
      <patternFill patternType="solid">
        <fgColor rgb="FFFFFF00"/>
        <bgColor rgb="FFDADADA"/>
      </patternFill>
    </fill>
    <fill>
      <patternFill patternType="solid">
        <fgColor theme="7" tint="-0.249977111117893"/>
        <bgColor rgb="FFDADADA"/>
      </patternFill>
    </fill>
    <fill>
      <patternFill patternType="solid">
        <fgColor rgb="FFFF0000"/>
        <bgColor rgb="FFDADADA"/>
      </patternFill>
    </fill>
    <fill>
      <patternFill patternType="solid">
        <fgColor rgb="FF92D050"/>
        <bgColor rgb="FFD9E2F3"/>
      </patternFill>
    </fill>
    <fill>
      <patternFill patternType="solid">
        <fgColor rgb="FF92D050"/>
        <bgColor rgb="FFADB9CA"/>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C00000"/>
        <bgColor indexed="64"/>
      </patternFill>
    </fill>
    <fill>
      <patternFill patternType="solid">
        <fgColor theme="8" tint="0.79998168889431442"/>
        <bgColor indexed="64"/>
      </patternFill>
    </fill>
    <fill>
      <patternFill patternType="solid">
        <fgColor rgb="FFD9D9D9"/>
        <bgColor indexed="64"/>
      </patternFill>
    </fill>
    <fill>
      <patternFill patternType="solid">
        <fgColor rgb="FFE26B0A"/>
        <bgColor indexed="64"/>
      </patternFill>
    </fill>
    <fill>
      <patternFill patternType="solid">
        <fgColor theme="9" tint="0.79998168889431442"/>
        <bgColor indexed="64"/>
      </patternFill>
    </fill>
    <fill>
      <patternFill patternType="solid">
        <fgColor theme="7" tint="0.39997558519241921"/>
        <bgColor rgb="FFA8D08D"/>
      </patternFill>
    </fill>
    <fill>
      <patternFill patternType="solid">
        <fgColor theme="7" tint="0.39997558519241921"/>
        <bgColor indexed="64"/>
      </patternFill>
    </fill>
    <fill>
      <patternFill patternType="solid">
        <fgColor theme="9" tint="0.79998168889431442"/>
        <bgColor rgb="FFB4C6E7"/>
      </patternFill>
    </fill>
    <fill>
      <patternFill patternType="solid">
        <fgColor theme="9" tint="0.79998168889431442"/>
        <bgColor rgb="FFA8D08D"/>
      </patternFill>
    </fill>
    <fill>
      <patternFill patternType="solid">
        <fgColor theme="9" tint="0.79998168889431442"/>
        <bgColor rgb="FFD0CECE"/>
      </patternFill>
    </fill>
    <fill>
      <patternFill patternType="solid">
        <fgColor theme="7" tint="0.39997558519241921"/>
        <bgColor rgb="FFB4C6E7"/>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rgb="FF000000"/>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s>
  <cellStyleXfs count="5">
    <xf numFmtId="0" fontId="0" fillId="0" borderId="0"/>
    <xf numFmtId="9" fontId="1" fillId="0" borderId="0" applyFont="0" applyFill="0" applyBorder="0" applyAlignment="0" applyProtection="0"/>
    <xf numFmtId="0" fontId="1" fillId="0" borderId="0"/>
    <xf numFmtId="0" fontId="12" fillId="0" borderId="0"/>
    <xf numFmtId="0" fontId="20" fillId="0" borderId="0"/>
  </cellStyleXfs>
  <cellXfs count="555">
    <xf numFmtId="0" fontId="0" fillId="0" borderId="0" xfId="0"/>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quotePrefix="1" applyFont="1" applyBorder="1" applyAlignment="1">
      <alignment vertical="center" wrapText="1"/>
    </xf>
    <xf numFmtId="0" fontId="8" fillId="0" borderId="0" xfId="0" applyFont="1"/>
    <xf numFmtId="0" fontId="7" fillId="6" borderId="1" xfId="0" applyFont="1" applyFill="1" applyBorder="1" applyAlignment="1">
      <alignment horizontal="center" vertical="center"/>
    </xf>
    <xf numFmtId="0" fontId="4" fillId="3" borderId="1" xfId="0" applyFont="1" applyFill="1" applyBorder="1" applyAlignment="1">
      <alignment horizontal="justify" vertical="center" wrapText="1"/>
    </xf>
    <xf numFmtId="0" fontId="8" fillId="3" borderId="1" xfId="0" applyFont="1" applyFill="1" applyBorder="1" applyAlignment="1">
      <alignment horizontal="justify" wrapText="1"/>
    </xf>
    <xf numFmtId="0" fontId="2" fillId="5" borderId="1" xfId="0" applyFont="1" applyFill="1" applyBorder="1" applyAlignment="1">
      <alignment horizontal="center" vertical="center"/>
    </xf>
    <xf numFmtId="0" fontId="4" fillId="0" borderId="1" xfId="0" applyFont="1" applyBorder="1" applyAlignment="1">
      <alignment horizontal="justify" vertical="center" wrapText="1"/>
    </xf>
    <xf numFmtId="0" fontId="7" fillId="6" borderId="1" xfId="0" applyFont="1" applyFill="1" applyBorder="1" applyAlignment="1">
      <alignment horizontal="center" vertical="center" wrapText="1"/>
    </xf>
    <xf numFmtId="0" fontId="11" fillId="2" borderId="0" xfId="0" applyFont="1" applyFill="1"/>
    <xf numFmtId="0" fontId="7" fillId="7" borderId="26" xfId="0" applyFont="1" applyFill="1" applyBorder="1" applyAlignment="1">
      <alignment horizontal="center" vertical="center"/>
    </xf>
    <xf numFmtId="0" fontId="8" fillId="2" borderId="26" xfId="0" applyFont="1" applyFill="1" applyBorder="1" applyAlignment="1">
      <alignment horizontal="left" vertical="center" wrapText="1"/>
    </xf>
    <xf numFmtId="0" fontId="7" fillId="8" borderId="28" xfId="0" applyFont="1" applyFill="1" applyBorder="1" applyAlignment="1">
      <alignment horizontal="center" vertical="center"/>
    </xf>
    <xf numFmtId="0" fontId="8" fillId="2" borderId="28" xfId="0" applyFont="1" applyFill="1" applyBorder="1" applyAlignment="1">
      <alignment horizontal="left" vertical="center" wrapText="1"/>
    </xf>
    <xf numFmtId="0" fontId="7" fillId="9" borderId="28" xfId="0" applyFont="1" applyFill="1" applyBorder="1" applyAlignment="1">
      <alignment horizontal="center" vertical="center"/>
    </xf>
    <xf numFmtId="0" fontId="7" fillId="10" borderId="28" xfId="0" applyFont="1" applyFill="1" applyBorder="1" applyAlignment="1">
      <alignment horizontal="center" vertical="center"/>
    </xf>
    <xf numFmtId="0" fontId="7" fillId="11" borderId="29" xfId="0" applyFont="1" applyFill="1" applyBorder="1" applyAlignment="1">
      <alignment horizontal="center" vertical="center"/>
    </xf>
    <xf numFmtId="0" fontId="8" fillId="2" borderId="29" xfId="0" applyFont="1" applyFill="1" applyBorder="1" applyAlignment="1">
      <alignment horizontal="left" vertical="center" wrapText="1"/>
    </xf>
    <xf numFmtId="9" fontId="8" fillId="2" borderId="27" xfId="1" applyFont="1" applyFill="1" applyBorder="1" applyAlignment="1">
      <alignment horizontal="center" vertical="center" wrapText="1"/>
    </xf>
    <xf numFmtId="9" fontId="8" fillId="2" borderId="23" xfId="1" applyFont="1" applyFill="1" applyBorder="1" applyAlignment="1">
      <alignment horizontal="center" vertical="center" wrapText="1"/>
    </xf>
    <xf numFmtId="9" fontId="8" fillId="2" borderId="24" xfId="1" applyFont="1" applyFill="1" applyBorder="1" applyAlignment="1">
      <alignment horizontal="center" vertical="center" wrapText="1"/>
    </xf>
    <xf numFmtId="0" fontId="7" fillId="12" borderId="17"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justify" vertical="center" wrapText="1"/>
    </xf>
    <xf numFmtId="0" fontId="5" fillId="0" borderId="1" xfId="0" applyFont="1" applyBorder="1" applyAlignment="1">
      <alignment horizontal="center" vertical="center" wrapText="1" readingOrder="1"/>
    </xf>
    <xf numFmtId="0" fontId="5" fillId="0" borderId="1" xfId="0" applyFont="1" applyBorder="1" applyAlignment="1">
      <alignment horizontal="justify" vertical="center" wrapText="1" readingOrder="1"/>
    </xf>
    <xf numFmtId="0" fontId="5" fillId="15" borderId="1" xfId="0" applyFont="1" applyFill="1" applyBorder="1" applyAlignment="1">
      <alignment horizontal="center" vertical="center" wrapText="1" readingOrder="1"/>
    </xf>
    <xf numFmtId="0" fontId="5" fillId="16" borderId="1" xfId="0" applyFont="1" applyFill="1" applyBorder="1" applyAlignment="1">
      <alignment horizontal="center" vertical="center" wrapText="1" readingOrder="1"/>
    </xf>
    <xf numFmtId="0" fontId="5" fillId="17" borderId="1" xfId="0" applyFont="1" applyFill="1" applyBorder="1" applyAlignment="1">
      <alignment horizontal="center" vertical="center" wrapText="1" readingOrder="1"/>
    </xf>
    <xf numFmtId="0" fontId="15" fillId="18" borderId="1" xfId="0" applyFont="1" applyFill="1" applyBorder="1" applyAlignment="1">
      <alignment horizontal="center" vertical="center" wrapText="1" readingOrder="1"/>
    </xf>
    <xf numFmtId="0" fontId="5" fillId="5" borderId="1" xfId="0" applyFont="1" applyFill="1" applyBorder="1" applyAlignment="1">
      <alignment horizontal="center" vertical="center" wrapText="1" readingOrder="1"/>
    </xf>
    <xf numFmtId="0" fontId="16" fillId="14" borderId="31" xfId="0" applyFont="1" applyFill="1" applyBorder="1" applyAlignment="1">
      <alignment horizontal="center" vertical="center" wrapText="1" readingOrder="1"/>
    </xf>
    <xf numFmtId="0" fontId="16" fillId="14" borderId="33" xfId="0" applyFont="1" applyFill="1" applyBorder="1" applyAlignment="1">
      <alignment horizontal="center" vertical="center" wrapText="1" readingOrder="1"/>
    </xf>
    <xf numFmtId="0" fontId="8" fillId="0" borderId="33" xfId="0" applyFont="1" applyBorder="1" applyAlignment="1">
      <alignment vertical="center" wrapText="1"/>
    </xf>
    <xf numFmtId="0" fontId="8" fillId="0" borderId="1" xfId="0" applyFont="1" applyBorder="1"/>
    <xf numFmtId="0" fontId="17" fillId="0" borderId="1" xfId="0" applyFont="1" applyBorder="1" applyAlignment="1" applyProtection="1">
      <alignment horizontal="center" vertical="center" wrapText="1"/>
      <protection hidden="1"/>
    </xf>
    <xf numFmtId="9" fontId="18" fillId="0" borderId="1" xfId="0" applyNumberFormat="1" applyFont="1" applyBorder="1" applyAlignment="1" applyProtection="1">
      <alignment vertical="center" wrapText="1"/>
      <protection hidden="1"/>
    </xf>
    <xf numFmtId="9" fontId="18" fillId="0" borderId="1" xfId="0" applyNumberFormat="1" applyFont="1" applyBorder="1" applyAlignment="1" applyProtection="1">
      <alignment horizontal="center" vertical="center" wrapText="1"/>
      <protection hidden="1"/>
    </xf>
    <xf numFmtId="0" fontId="8" fillId="0" borderId="33" xfId="0" applyFont="1" applyBorder="1" applyAlignment="1">
      <alignment horizontal="center" vertical="center" wrapText="1"/>
    </xf>
    <xf numFmtId="0" fontId="0" fillId="0" borderId="0" xfId="0" pivotButton="1"/>
    <xf numFmtId="0" fontId="0" fillId="0" borderId="0" xfId="0" applyAlignment="1">
      <alignment vertical="center"/>
    </xf>
    <xf numFmtId="0" fontId="0" fillId="0" borderId="0" xfId="0" applyAlignment="1">
      <alignment horizontal="center" vertical="center" wrapText="1"/>
    </xf>
    <xf numFmtId="0" fontId="19" fillId="0" borderId="0" xfId="0" applyFont="1"/>
    <xf numFmtId="0" fontId="8" fillId="0" borderId="0" xfId="0" applyFont="1" applyAlignment="1">
      <alignment horizontal="center" vertical="center" wrapText="1"/>
    </xf>
    <xf numFmtId="0" fontId="5" fillId="0" borderId="0" xfId="0" applyFont="1" applyAlignment="1">
      <alignment horizontal="center" vertical="center" wrapText="1" readingOrder="1"/>
    </xf>
    <xf numFmtId="0" fontId="5" fillId="0" borderId="0" xfId="0" applyFont="1" applyAlignment="1">
      <alignment horizontal="justify" vertical="center" wrapText="1" readingOrder="1"/>
    </xf>
    <xf numFmtId="0" fontId="8" fillId="0" borderId="1" xfId="0" applyFont="1" applyBorder="1" applyAlignment="1">
      <alignment horizontal="center" vertical="center" textRotation="90"/>
    </xf>
    <xf numFmtId="9" fontId="8" fillId="0" borderId="1" xfId="1" applyFont="1" applyBorder="1" applyAlignment="1">
      <alignment horizontal="center" vertical="center"/>
    </xf>
    <xf numFmtId="0" fontId="18" fillId="0" borderId="1" xfId="0" applyFont="1" applyBorder="1" applyAlignment="1" applyProtection="1">
      <alignment horizontal="center" vertical="center"/>
      <protection hidden="1"/>
    </xf>
    <xf numFmtId="9" fontId="18" fillId="0" borderId="1" xfId="0" applyNumberFormat="1" applyFont="1" applyBorder="1" applyAlignment="1" applyProtection="1">
      <alignment horizontal="center" vertical="center"/>
      <protection hidden="1"/>
    </xf>
    <xf numFmtId="0" fontId="17" fillId="0" borderId="1" xfId="0" applyFont="1" applyBorder="1" applyAlignment="1" applyProtection="1">
      <alignment horizontal="center" vertical="center" textRotation="90" wrapText="1"/>
      <protection hidden="1"/>
    </xf>
    <xf numFmtId="0" fontId="17" fillId="0" borderId="1" xfId="0" applyFont="1" applyBorder="1" applyAlignment="1" applyProtection="1">
      <alignment horizontal="center" vertical="center" textRotation="90"/>
      <protection hidden="1"/>
    </xf>
    <xf numFmtId="0" fontId="7" fillId="0" borderId="33" xfId="0" applyFont="1" applyBorder="1" applyAlignment="1">
      <alignment horizontal="center" vertical="center"/>
    </xf>
    <xf numFmtId="9" fontId="18" fillId="0" borderId="32" xfId="0" applyNumberFormat="1" applyFont="1" applyBorder="1" applyAlignment="1" applyProtection="1">
      <alignment horizontal="center" vertical="center"/>
      <protection hidden="1"/>
    </xf>
    <xf numFmtId="0" fontId="8" fillId="0" borderId="32" xfId="0" applyFont="1" applyBorder="1" applyAlignment="1">
      <alignment horizontal="center" vertical="center" wrapText="1"/>
    </xf>
    <xf numFmtId="0" fontId="17" fillId="0" borderId="1" xfId="0" applyFont="1" applyBorder="1" applyAlignment="1" applyProtection="1">
      <alignment horizontal="center" vertical="center"/>
      <protection hidden="1"/>
    </xf>
    <xf numFmtId="0" fontId="5" fillId="0" borderId="1" xfId="0" applyFont="1" applyBorder="1" applyAlignment="1">
      <alignment vertical="center"/>
    </xf>
    <xf numFmtId="0" fontId="8" fillId="0" borderId="1" xfId="0" quotePrefix="1" applyFont="1" applyBorder="1" applyAlignment="1">
      <alignment horizontal="justify" vertical="center" wrapText="1"/>
    </xf>
    <xf numFmtId="9" fontId="8" fillId="0" borderId="1" xfId="1" applyFont="1" applyFill="1" applyBorder="1" applyAlignment="1">
      <alignment horizontal="center" vertical="center"/>
    </xf>
    <xf numFmtId="0" fontId="17" fillId="0" borderId="32" xfId="0" applyFont="1" applyBorder="1" applyAlignment="1" applyProtection="1">
      <alignment horizontal="center" vertical="center" wrapText="1"/>
      <protection hidden="1"/>
    </xf>
    <xf numFmtId="9" fontId="18" fillId="0" borderId="32" xfId="0" applyNumberFormat="1" applyFont="1" applyBorder="1" applyAlignment="1" applyProtection="1">
      <alignment horizontal="center" vertical="center" wrapText="1"/>
      <protection hidden="1"/>
    </xf>
    <xf numFmtId="9" fontId="18" fillId="0" borderId="32" xfId="0" applyNumberFormat="1" applyFont="1" applyBorder="1" applyAlignment="1" applyProtection="1">
      <alignment vertical="center" wrapText="1"/>
      <protection hidden="1"/>
    </xf>
    <xf numFmtId="0" fontId="17" fillId="0" borderId="32" xfId="0" applyFont="1" applyBorder="1" applyAlignment="1" applyProtection="1">
      <alignment horizontal="center" vertical="center"/>
      <protection hidden="1"/>
    </xf>
    <xf numFmtId="0" fontId="8" fillId="4" borderId="0" xfId="0" applyFont="1" applyFill="1"/>
    <xf numFmtId="0" fontId="29" fillId="4" borderId="0" xfId="0" applyFont="1" applyFill="1" applyAlignment="1">
      <alignment vertical="center"/>
    </xf>
    <xf numFmtId="0" fontId="16" fillId="23" borderId="6" xfId="0" applyFont="1" applyFill="1" applyBorder="1" applyAlignment="1" applyProtection="1">
      <alignment horizontal="center" vertical="center" wrapText="1" readingOrder="1"/>
      <protection hidden="1"/>
    </xf>
    <xf numFmtId="0" fontId="16" fillId="23" borderId="7" xfId="0" applyFont="1" applyFill="1" applyBorder="1" applyAlignment="1" applyProtection="1">
      <alignment horizontal="center" vertical="center" wrapText="1" readingOrder="1"/>
      <protection hidden="1"/>
    </xf>
    <xf numFmtId="0" fontId="16" fillId="23" borderId="41" xfId="0" applyFont="1" applyFill="1" applyBorder="1" applyAlignment="1" applyProtection="1">
      <alignment horizontal="center" vertical="center" wrapText="1" readingOrder="1"/>
      <protection hidden="1"/>
    </xf>
    <xf numFmtId="0" fontId="16" fillId="20" borderId="6" xfId="0" applyFont="1" applyFill="1" applyBorder="1" applyAlignment="1" applyProtection="1">
      <alignment horizontal="center" wrapText="1" readingOrder="1"/>
      <protection hidden="1"/>
    </xf>
    <xf numFmtId="0" fontId="16" fillId="20" borderId="7" xfId="0" applyFont="1" applyFill="1" applyBorder="1" applyAlignment="1" applyProtection="1">
      <alignment horizontal="center" wrapText="1" readingOrder="1"/>
      <protection hidden="1"/>
    </xf>
    <xf numFmtId="0" fontId="16" fillId="20" borderId="41" xfId="0" applyFont="1" applyFill="1" applyBorder="1" applyAlignment="1" applyProtection="1">
      <alignment horizontal="center" wrapText="1" readingOrder="1"/>
      <protection hidden="1"/>
    </xf>
    <xf numFmtId="0" fontId="16" fillId="23" borderId="9" xfId="0" applyFont="1" applyFill="1" applyBorder="1" applyAlignment="1" applyProtection="1">
      <alignment horizontal="center" vertical="center" wrapText="1" readingOrder="1"/>
      <protection hidden="1"/>
    </xf>
    <xf numFmtId="0" fontId="16" fillId="23" borderId="0" xfId="0" applyFont="1" applyFill="1" applyAlignment="1" applyProtection="1">
      <alignment horizontal="center" vertical="center" wrapText="1" readingOrder="1"/>
      <protection hidden="1"/>
    </xf>
    <xf numFmtId="0" fontId="16" fillId="23" borderId="10" xfId="0" applyFont="1" applyFill="1" applyBorder="1" applyAlignment="1" applyProtection="1">
      <alignment horizontal="center" vertical="center" wrapText="1" readingOrder="1"/>
      <protection hidden="1"/>
    </xf>
    <xf numFmtId="0" fontId="16" fillId="20" borderId="9" xfId="0" applyFont="1" applyFill="1" applyBorder="1" applyAlignment="1" applyProtection="1">
      <alignment horizontal="center" wrapText="1" readingOrder="1"/>
      <protection hidden="1"/>
    </xf>
    <xf numFmtId="0" fontId="16" fillId="20" borderId="0" xfId="0" applyFont="1" applyFill="1" applyAlignment="1" applyProtection="1">
      <alignment horizontal="center" wrapText="1" readingOrder="1"/>
      <protection hidden="1"/>
    </xf>
    <xf numFmtId="0" fontId="16" fillId="20" borderId="10" xfId="0" applyFont="1" applyFill="1" applyBorder="1" applyAlignment="1" applyProtection="1">
      <alignment horizontal="center" wrapText="1" readingOrder="1"/>
      <protection hidden="1"/>
    </xf>
    <xf numFmtId="0" fontId="16" fillId="23" borderId="2" xfId="0" applyFont="1" applyFill="1" applyBorder="1" applyAlignment="1" applyProtection="1">
      <alignment horizontal="center" vertical="center" wrapText="1" readingOrder="1"/>
      <protection hidden="1"/>
    </xf>
    <xf numFmtId="0" fontId="16" fillId="23" borderId="3" xfId="0" applyFont="1" applyFill="1" applyBorder="1" applyAlignment="1" applyProtection="1">
      <alignment horizontal="center" vertical="center" wrapText="1" readingOrder="1"/>
      <protection hidden="1"/>
    </xf>
    <xf numFmtId="0" fontId="16" fillId="23" borderId="11" xfId="0" applyFont="1" applyFill="1" applyBorder="1" applyAlignment="1" applyProtection="1">
      <alignment horizontal="center" vertical="center" wrapText="1" readingOrder="1"/>
      <protection hidden="1"/>
    </xf>
    <xf numFmtId="0" fontId="16" fillId="20" borderId="2" xfId="0" applyFont="1" applyFill="1" applyBorder="1" applyAlignment="1" applyProtection="1">
      <alignment horizontal="center" wrapText="1" readingOrder="1"/>
      <protection hidden="1"/>
    </xf>
    <xf numFmtId="0" fontId="16" fillId="20" borderId="3" xfId="0" applyFont="1" applyFill="1" applyBorder="1" applyAlignment="1" applyProtection="1">
      <alignment horizontal="center" wrapText="1" readingOrder="1"/>
      <protection hidden="1"/>
    </xf>
    <xf numFmtId="0" fontId="16" fillId="20" borderId="11" xfId="0" applyFont="1" applyFill="1" applyBorder="1" applyAlignment="1" applyProtection="1">
      <alignment horizontal="center" wrapText="1" readingOrder="1"/>
      <protection hidden="1"/>
    </xf>
    <xf numFmtId="0" fontId="16" fillId="19" borderId="6" xfId="0" applyFont="1" applyFill="1" applyBorder="1" applyAlignment="1" applyProtection="1">
      <alignment horizontal="center" wrapText="1" readingOrder="1"/>
      <protection hidden="1"/>
    </xf>
    <xf numFmtId="0" fontId="16" fillId="19" borderId="7" xfId="0" applyFont="1" applyFill="1" applyBorder="1" applyAlignment="1" applyProtection="1">
      <alignment horizontal="center" wrapText="1" readingOrder="1"/>
      <protection hidden="1"/>
    </xf>
    <xf numFmtId="0" fontId="16" fillId="19" borderId="41" xfId="0" applyFont="1" applyFill="1" applyBorder="1" applyAlignment="1" applyProtection="1">
      <alignment horizontal="center" wrapText="1" readingOrder="1"/>
      <protection hidden="1"/>
    </xf>
    <xf numFmtId="0" fontId="16" fillId="19" borderId="9" xfId="0" applyFont="1" applyFill="1" applyBorder="1" applyAlignment="1" applyProtection="1">
      <alignment horizontal="center" wrapText="1" readingOrder="1"/>
      <protection hidden="1"/>
    </xf>
    <xf numFmtId="0" fontId="16" fillId="19" borderId="0" xfId="0" applyFont="1" applyFill="1" applyAlignment="1" applyProtection="1">
      <alignment horizontal="center" wrapText="1" readingOrder="1"/>
      <protection hidden="1"/>
    </xf>
    <xf numFmtId="0" fontId="16" fillId="19" borderId="10" xfId="0" applyFont="1" applyFill="1" applyBorder="1" applyAlignment="1" applyProtection="1">
      <alignment horizontal="center" wrapText="1" readingOrder="1"/>
      <protection hidden="1"/>
    </xf>
    <xf numFmtId="0" fontId="16" fillId="19" borderId="2" xfId="0" applyFont="1" applyFill="1" applyBorder="1" applyAlignment="1" applyProtection="1">
      <alignment horizontal="center" wrapText="1" readingOrder="1"/>
      <protection hidden="1"/>
    </xf>
    <xf numFmtId="0" fontId="16" fillId="19" borderId="3" xfId="0" applyFont="1" applyFill="1" applyBorder="1" applyAlignment="1" applyProtection="1">
      <alignment horizontal="center" wrapText="1" readingOrder="1"/>
      <protection hidden="1"/>
    </xf>
    <xf numFmtId="0" fontId="16" fillId="19" borderId="11" xfId="0" applyFont="1" applyFill="1" applyBorder="1" applyAlignment="1" applyProtection="1">
      <alignment horizontal="center" wrapText="1" readingOrder="1"/>
      <protection hidden="1"/>
    </xf>
    <xf numFmtId="0" fontId="16" fillId="14" borderId="6" xfId="0" applyFont="1" applyFill="1" applyBorder="1" applyAlignment="1" applyProtection="1">
      <alignment horizontal="center" wrapText="1" readingOrder="1"/>
      <protection hidden="1"/>
    </xf>
    <xf numFmtId="0" fontId="16" fillId="14" borderId="7" xfId="0" applyFont="1" applyFill="1" applyBorder="1" applyAlignment="1" applyProtection="1">
      <alignment horizontal="center" wrapText="1" readingOrder="1"/>
      <protection hidden="1"/>
    </xf>
    <xf numFmtId="0" fontId="16" fillId="14" borderId="41" xfId="0" applyFont="1" applyFill="1" applyBorder="1" applyAlignment="1" applyProtection="1">
      <alignment horizontal="center" wrapText="1" readingOrder="1"/>
      <protection hidden="1"/>
    </xf>
    <xf numFmtId="0" fontId="16" fillId="14" borderId="9" xfId="0" applyFont="1" applyFill="1" applyBorder="1" applyAlignment="1" applyProtection="1">
      <alignment horizontal="center" wrapText="1" readingOrder="1"/>
      <protection hidden="1"/>
    </xf>
    <xf numFmtId="0" fontId="16" fillId="14" borderId="0" xfId="0" applyFont="1" applyFill="1" applyAlignment="1" applyProtection="1">
      <alignment horizontal="center" wrapText="1" readingOrder="1"/>
      <protection hidden="1"/>
    </xf>
    <xf numFmtId="0" fontId="16" fillId="14" borderId="10" xfId="0" applyFont="1" applyFill="1" applyBorder="1" applyAlignment="1" applyProtection="1">
      <alignment horizontal="center" wrapText="1" readingOrder="1"/>
      <protection hidden="1"/>
    </xf>
    <xf numFmtId="0" fontId="16" fillId="14" borderId="2" xfId="0" applyFont="1" applyFill="1" applyBorder="1" applyAlignment="1" applyProtection="1">
      <alignment horizontal="center" wrapText="1" readingOrder="1"/>
      <protection hidden="1"/>
    </xf>
    <xf numFmtId="0" fontId="16" fillId="14" borderId="3" xfId="0" applyFont="1" applyFill="1" applyBorder="1" applyAlignment="1" applyProtection="1">
      <alignment horizontal="center" wrapText="1" readingOrder="1"/>
      <protection hidden="1"/>
    </xf>
    <xf numFmtId="0" fontId="16" fillId="14" borderId="11" xfId="0" applyFont="1" applyFill="1" applyBorder="1" applyAlignment="1" applyProtection="1">
      <alignment horizontal="center" wrapText="1" readingOrder="1"/>
      <protection hidden="1"/>
    </xf>
    <xf numFmtId="0" fontId="34" fillId="19" borderId="7" xfId="0" applyFont="1" applyFill="1" applyBorder="1" applyAlignment="1" applyProtection="1">
      <alignment horizontal="center" wrapText="1" readingOrder="1"/>
      <protection hidden="1"/>
    </xf>
    <xf numFmtId="0" fontId="36" fillId="4" borderId="0" xfId="0" applyFont="1" applyFill="1"/>
    <xf numFmtId="0" fontId="37" fillId="4" borderId="0" xfId="0" applyFont="1" applyFill="1"/>
    <xf numFmtId="0" fontId="38" fillId="24" borderId="51" xfId="0" applyFont="1" applyFill="1" applyBorder="1" applyAlignment="1">
      <alignment horizontal="center" vertical="center" wrapText="1" readingOrder="1"/>
    </xf>
    <xf numFmtId="0" fontId="38" fillId="24" borderId="52" xfId="0" applyFont="1" applyFill="1" applyBorder="1" applyAlignment="1">
      <alignment horizontal="center" vertical="center" wrapText="1" readingOrder="1"/>
    </xf>
    <xf numFmtId="0" fontId="38" fillId="4" borderId="33" xfId="0" applyFont="1" applyFill="1" applyBorder="1" applyAlignment="1">
      <alignment horizontal="center" vertical="center" wrapText="1" readingOrder="1"/>
    </xf>
    <xf numFmtId="0" fontId="39" fillId="4" borderId="33" xfId="0" applyFont="1" applyFill="1" applyBorder="1" applyAlignment="1">
      <alignment horizontal="justify" vertical="center" wrapText="1" readingOrder="1"/>
    </xf>
    <xf numFmtId="9" fontId="38" fillId="4" borderId="54" xfId="0" applyNumberFormat="1" applyFont="1" applyFill="1" applyBorder="1" applyAlignment="1">
      <alignment horizontal="center" vertical="center" wrapText="1" readingOrder="1"/>
    </xf>
    <xf numFmtId="0" fontId="38" fillId="4" borderId="1" xfId="0" applyFont="1" applyFill="1" applyBorder="1" applyAlignment="1">
      <alignment horizontal="center" vertical="center" wrapText="1" readingOrder="1"/>
    </xf>
    <xf numFmtId="0" fontId="39" fillId="4" borderId="1" xfId="0" applyFont="1" applyFill="1" applyBorder="1" applyAlignment="1">
      <alignment horizontal="justify" vertical="center" wrapText="1" readingOrder="1"/>
    </xf>
    <xf numFmtId="9" fontId="38" fillId="4" borderId="56" xfId="0" applyNumberFormat="1" applyFont="1" applyFill="1" applyBorder="1" applyAlignment="1">
      <alignment horizontal="center" vertical="center" wrapText="1" readingOrder="1"/>
    </xf>
    <xf numFmtId="0" fontId="39" fillId="4" borderId="56" xfId="0" applyFont="1" applyFill="1" applyBorder="1" applyAlignment="1">
      <alignment horizontal="center" vertical="center" wrapText="1" readingOrder="1"/>
    </xf>
    <xf numFmtId="0" fontId="38" fillId="4" borderId="58" xfId="0" applyFont="1" applyFill="1" applyBorder="1" applyAlignment="1">
      <alignment horizontal="center" vertical="center" wrapText="1" readingOrder="1"/>
    </xf>
    <xf numFmtId="0" fontId="39" fillId="4" borderId="58" xfId="0" applyFont="1" applyFill="1" applyBorder="1" applyAlignment="1">
      <alignment horizontal="justify" vertical="center" wrapText="1" readingOrder="1"/>
    </xf>
    <xf numFmtId="0" fontId="39" fillId="4" borderId="59" xfId="0" applyFont="1" applyFill="1" applyBorder="1" applyAlignment="1">
      <alignment horizontal="center" vertical="center" wrapText="1" readingOrder="1"/>
    </xf>
    <xf numFmtId="0" fontId="43" fillId="4" borderId="0" xfId="0" applyFont="1" applyFill="1"/>
    <xf numFmtId="0" fontId="27" fillId="19" borderId="6" xfId="0" applyFont="1" applyFill="1" applyBorder="1" applyAlignment="1" applyProtection="1">
      <alignment wrapText="1" readingOrder="1"/>
      <protection hidden="1"/>
    </xf>
    <xf numFmtId="0" fontId="27" fillId="19" borderId="7" xfId="0" applyFont="1" applyFill="1" applyBorder="1" applyAlignment="1" applyProtection="1">
      <alignment wrapText="1" readingOrder="1"/>
      <protection hidden="1"/>
    </xf>
    <xf numFmtId="0" fontId="27" fillId="19" borderId="9" xfId="0" applyFont="1" applyFill="1" applyBorder="1" applyAlignment="1" applyProtection="1">
      <alignment wrapText="1" readingOrder="1"/>
      <protection hidden="1"/>
    </xf>
    <xf numFmtId="0" fontId="27" fillId="19" borderId="41" xfId="0" applyFont="1" applyFill="1" applyBorder="1" applyAlignment="1" applyProtection="1">
      <alignment wrapText="1" readingOrder="1"/>
      <protection hidden="1"/>
    </xf>
    <xf numFmtId="0" fontId="27" fillId="19" borderId="10" xfId="0" applyFont="1" applyFill="1" applyBorder="1" applyAlignment="1" applyProtection="1">
      <alignment wrapText="1" readingOrder="1"/>
      <protection hidden="1"/>
    </xf>
    <xf numFmtId="0" fontId="27" fillId="19" borderId="2" xfId="0" applyFont="1" applyFill="1" applyBorder="1" applyAlignment="1" applyProtection="1">
      <alignment wrapText="1" readingOrder="1"/>
      <protection hidden="1"/>
    </xf>
    <xf numFmtId="0" fontId="27" fillId="19" borderId="3" xfId="0" applyFont="1" applyFill="1" applyBorder="1" applyAlignment="1" applyProtection="1">
      <alignment wrapText="1" readingOrder="1"/>
      <protection hidden="1"/>
    </xf>
    <xf numFmtId="0" fontId="27" fillId="19" borderId="11" xfId="0" applyFont="1" applyFill="1" applyBorder="1" applyAlignment="1" applyProtection="1">
      <alignment wrapText="1" readingOrder="1"/>
      <protection hidden="1"/>
    </xf>
    <xf numFmtId="0" fontId="27" fillId="19" borderId="0" xfId="0" applyFont="1" applyFill="1" applyAlignment="1" applyProtection="1">
      <alignment wrapText="1" readingOrder="1"/>
      <protection hidden="1"/>
    </xf>
    <xf numFmtId="0" fontId="7" fillId="0" borderId="32" xfId="0" applyFont="1" applyBorder="1" applyAlignment="1">
      <alignment horizontal="center" vertical="center" wrapText="1"/>
    </xf>
    <xf numFmtId="0" fontId="2" fillId="5" borderId="39" xfId="0" applyFont="1" applyFill="1" applyBorder="1" applyAlignment="1">
      <alignment horizontal="center" vertical="center"/>
    </xf>
    <xf numFmtId="0" fontId="8" fillId="0" borderId="19" xfId="0" applyFont="1" applyBorder="1" applyAlignment="1">
      <alignment horizontal="center" vertical="center" textRotation="90"/>
    </xf>
    <xf numFmtId="9" fontId="8" fillId="0" borderId="33" xfId="1" applyFont="1" applyBorder="1" applyAlignment="1">
      <alignment horizontal="center" vertical="center"/>
    </xf>
    <xf numFmtId="0" fontId="17" fillId="0" borderId="33" xfId="0" applyFont="1" applyBorder="1" applyAlignment="1" applyProtection="1">
      <alignment horizontal="center" vertical="center" textRotation="90" wrapText="1"/>
      <protection hidden="1"/>
    </xf>
    <xf numFmtId="9" fontId="18" fillId="0" borderId="39" xfId="0" applyNumberFormat="1" applyFont="1" applyBorder="1" applyAlignment="1" applyProtection="1">
      <alignment horizontal="center" vertical="center"/>
      <protection hidden="1"/>
    </xf>
    <xf numFmtId="9" fontId="18" fillId="0" borderId="33" xfId="0" applyNumberFormat="1" applyFont="1" applyBorder="1" applyAlignment="1" applyProtection="1">
      <alignment horizontal="center" vertical="center"/>
      <protection hidden="1"/>
    </xf>
    <xf numFmtId="0" fontId="17" fillId="0" borderId="33" xfId="0" applyFont="1" applyBorder="1" applyAlignment="1" applyProtection="1">
      <alignment horizontal="center" vertical="center" textRotation="90"/>
      <protection hidden="1"/>
    </xf>
    <xf numFmtId="0" fontId="8" fillId="0" borderId="61" xfId="0" applyFont="1" applyBorder="1" applyAlignment="1">
      <alignment horizontal="center" vertical="center" textRotation="90"/>
    </xf>
    <xf numFmtId="0" fontId="14" fillId="14" borderId="1" xfId="0" applyFont="1" applyFill="1" applyBorder="1" applyAlignment="1">
      <alignment horizontal="center" vertical="center" wrapText="1"/>
    </xf>
    <xf numFmtId="0" fontId="17" fillId="0" borderId="33" xfId="0" applyFont="1" applyBorder="1" applyAlignment="1" applyProtection="1">
      <alignment horizontal="center" vertical="center" wrapText="1"/>
      <protection hidden="1"/>
    </xf>
    <xf numFmtId="9" fontId="18" fillId="0" borderId="33" xfId="0" applyNumberFormat="1" applyFont="1" applyBorder="1" applyAlignment="1" applyProtection="1">
      <alignment horizontal="center" vertical="center" wrapText="1"/>
      <protection hidden="1"/>
    </xf>
    <xf numFmtId="9" fontId="18" fillId="0" borderId="33" xfId="0" applyNumberFormat="1" applyFont="1" applyBorder="1" applyAlignment="1" applyProtection="1">
      <alignment vertical="center" wrapText="1"/>
      <protection hidden="1"/>
    </xf>
    <xf numFmtId="0" fontId="17" fillId="0" borderId="33" xfId="0" applyFont="1" applyBorder="1" applyAlignment="1" applyProtection="1">
      <alignment horizontal="center" vertical="center"/>
      <protection hidden="1"/>
    </xf>
    <xf numFmtId="0" fontId="8" fillId="0" borderId="33" xfId="0" applyFont="1" applyBorder="1" applyAlignment="1">
      <alignment horizontal="justify" vertical="center"/>
    </xf>
    <xf numFmtId="0" fontId="18" fillId="0" borderId="33" xfId="0" applyFont="1" applyBorder="1" applyAlignment="1" applyProtection="1">
      <alignment horizontal="center" vertical="center"/>
      <protection hidden="1"/>
    </xf>
    <xf numFmtId="0" fontId="8" fillId="0" borderId="33" xfId="0" applyFont="1" applyBorder="1" applyAlignment="1">
      <alignment horizontal="center" vertical="center" textRotation="90"/>
    </xf>
    <xf numFmtId="0" fontId="8" fillId="0" borderId="1" xfId="0" applyFont="1" applyBorder="1" applyAlignment="1">
      <alignment horizontal="center" vertical="center" textRotation="90" wrapText="1"/>
    </xf>
    <xf numFmtId="9" fontId="8" fillId="0" borderId="1" xfId="1" applyFont="1" applyBorder="1" applyAlignment="1">
      <alignment horizontal="center" vertical="center" wrapText="1"/>
    </xf>
    <xf numFmtId="0" fontId="8" fillId="0" borderId="21" xfId="0" applyFont="1" applyBorder="1" applyAlignment="1">
      <alignment horizontal="justify" vertical="center" wrapText="1"/>
    </xf>
    <xf numFmtId="0" fontId="8" fillId="0" borderId="39" xfId="0" applyFont="1" applyBorder="1" applyAlignment="1">
      <alignment horizontal="center" vertical="center" wrapText="1"/>
    </xf>
    <xf numFmtId="0" fontId="4" fillId="0" borderId="1" xfId="0" applyFont="1" applyBorder="1" applyAlignment="1">
      <alignment horizontal="left" vertical="center" wrapText="1"/>
    </xf>
    <xf numFmtId="0" fontId="8" fillId="0" borderId="33" xfId="0" applyFont="1" applyBorder="1" applyAlignment="1">
      <alignment horizontal="justify" vertical="center" wrapText="1"/>
    </xf>
    <xf numFmtId="0" fontId="4" fillId="0" borderId="33" xfId="0" applyFont="1" applyBorder="1" applyAlignment="1">
      <alignment horizontal="justify" vertical="center" wrapText="1"/>
    </xf>
    <xf numFmtId="0" fontId="8" fillId="0" borderId="32" xfId="0" quotePrefix="1" applyFont="1" applyBorder="1" applyAlignment="1">
      <alignment horizontal="justify" vertical="center" wrapText="1"/>
    </xf>
    <xf numFmtId="0" fontId="7" fillId="0" borderId="33" xfId="0" applyFont="1" applyBorder="1" applyAlignment="1">
      <alignment horizontal="center" vertical="center" wrapText="1"/>
    </xf>
    <xf numFmtId="0" fontId="4" fillId="0" borderId="33" xfId="0" applyFont="1" applyBorder="1" applyAlignment="1">
      <alignment vertical="center" wrapText="1"/>
    </xf>
    <xf numFmtId="0" fontId="4" fillId="0" borderId="1" xfId="0" applyFont="1" applyBorder="1" applyAlignment="1">
      <alignment vertical="center" wrapText="1"/>
    </xf>
    <xf numFmtId="0" fontId="8" fillId="0" borderId="31" xfId="0" applyFont="1" applyBorder="1" applyAlignment="1">
      <alignment horizontal="justify" vertical="center" wrapText="1"/>
    </xf>
    <xf numFmtId="0" fontId="8" fillId="0" borderId="32" xfId="0" applyFont="1" applyBorder="1" applyAlignment="1">
      <alignment horizontal="left" vertical="center" wrapText="1"/>
    </xf>
    <xf numFmtId="0" fontId="7" fillId="0" borderId="32" xfId="0" applyFont="1" applyBorder="1" applyAlignment="1">
      <alignment horizontal="center" vertical="center"/>
    </xf>
    <xf numFmtId="0" fontId="18" fillId="0" borderId="32" xfId="0" applyFont="1" applyBorder="1" applyAlignment="1" applyProtection="1">
      <alignment horizontal="center" vertical="center"/>
      <protection hidden="1"/>
    </xf>
    <xf numFmtId="0" fontId="8" fillId="0" borderId="32" xfId="0" applyFont="1" applyBorder="1" applyAlignment="1">
      <alignment horizontal="center" vertical="center" textRotation="90"/>
    </xf>
    <xf numFmtId="9" fontId="8" fillId="0" borderId="32" xfId="1" applyFont="1" applyFill="1" applyBorder="1" applyAlignment="1">
      <alignment horizontal="center" vertical="center"/>
    </xf>
    <xf numFmtId="0" fontId="17" fillId="0" borderId="32" xfId="0" applyFont="1" applyBorder="1" applyAlignment="1" applyProtection="1">
      <alignment horizontal="center" vertical="center" textRotation="90" wrapText="1"/>
      <protection hidden="1"/>
    </xf>
    <xf numFmtId="0" fontId="17" fillId="0" borderId="32" xfId="0" applyFont="1" applyBorder="1" applyAlignment="1" applyProtection="1">
      <alignment horizontal="center" vertical="center" textRotation="90"/>
      <protection hidden="1"/>
    </xf>
    <xf numFmtId="0" fontId="8" fillId="0" borderId="71" xfId="0" applyFont="1" applyBorder="1" applyAlignment="1">
      <alignment horizontal="center" vertical="center" textRotation="90"/>
    </xf>
    <xf numFmtId="0" fontId="4" fillId="0" borderId="21" xfId="0" applyFont="1" applyBorder="1" applyAlignment="1">
      <alignment horizontal="left" vertical="center" wrapText="1"/>
    </xf>
    <xf numFmtId="0" fontId="4" fillId="0" borderId="72" xfId="0" applyFont="1" applyBorder="1" applyAlignment="1">
      <alignment horizontal="left" vertical="center" wrapText="1"/>
    </xf>
    <xf numFmtId="0" fontId="4" fillId="0" borderId="32" xfId="0" applyFont="1" applyBorder="1" applyAlignment="1">
      <alignment horizontal="left" vertical="center" wrapText="1"/>
    </xf>
    <xf numFmtId="0" fontId="17" fillId="21" borderId="1" xfId="0" applyFont="1" applyFill="1" applyBorder="1" applyAlignment="1" applyProtection="1">
      <alignment horizontal="center" vertical="center" wrapText="1"/>
      <protection hidden="1"/>
    </xf>
    <xf numFmtId="0" fontId="17" fillId="21" borderId="1" xfId="0" applyFont="1" applyFill="1" applyBorder="1" applyAlignment="1" applyProtection="1">
      <alignment horizontal="center" vertical="center"/>
      <protection hidden="1"/>
    </xf>
    <xf numFmtId="0" fontId="5" fillId="0" borderId="21" xfId="0" applyFont="1" applyBorder="1" applyAlignment="1">
      <alignment horizontal="left" vertical="center" wrapText="1"/>
    </xf>
    <xf numFmtId="0" fontId="5" fillId="0" borderId="31" xfId="0" applyFont="1" applyBorder="1" applyAlignment="1">
      <alignment horizontal="left" vertical="center" wrapText="1"/>
    </xf>
    <xf numFmtId="0" fontId="4" fillId="0" borderId="1" xfId="0" applyFont="1" applyBorder="1" applyAlignment="1">
      <alignment vertical="center"/>
    </xf>
    <xf numFmtId="0" fontId="3" fillId="0" borderId="1" xfId="0" applyFont="1" applyBorder="1" applyAlignment="1">
      <alignment vertical="center"/>
    </xf>
    <xf numFmtId="14" fontId="8" fillId="0" borderId="33"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8" fillId="0" borderId="32" xfId="0" applyNumberFormat="1" applyFont="1" applyBorder="1" applyAlignment="1">
      <alignment horizontal="center" vertical="center" wrapText="1"/>
    </xf>
    <xf numFmtId="14" fontId="8" fillId="0" borderId="39"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0" fontId="46" fillId="0" borderId="0" xfId="0" applyFont="1" applyAlignment="1">
      <alignment wrapText="1"/>
    </xf>
    <xf numFmtId="0" fontId="7" fillId="0" borderId="19" xfId="0" applyFont="1" applyBorder="1" applyAlignment="1">
      <alignment horizontal="center" vertical="center" wrapText="1"/>
    </xf>
    <xf numFmtId="0" fontId="4" fillId="0" borderId="76" xfId="0" applyFont="1" applyBorder="1" applyAlignment="1">
      <alignment vertical="center" wrapText="1"/>
    </xf>
    <xf numFmtId="0" fontId="8" fillId="0" borderId="21" xfId="0" applyFont="1" applyBorder="1" applyAlignment="1">
      <alignment horizontal="left" vertical="center" wrapText="1"/>
    </xf>
    <xf numFmtId="0" fontId="8" fillId="0" borderId="1" xfId="0" applyFont="1" applyBorder="1" applyAlignment="1">
      <alignment vertical="center"/>
    </xf>
    <xf numFmtId="14" fontId="8" fillId="0" borderId="1" xfId="0" applyNumberFormat="1" applyFont="1" applyBorder="1" applyAlignment="1">
      <alignment horizontal="center" vertical="center"/>
    </xf>
    <xf numFmtId="0" fontId="4" fillId="0" borderId="77" xfId="0" applyFont="1" applyBorder="1" applyAlignment="1">
      <alignment horizontal="left" vertical="center" wrapText="1"/>
    </xf>
    <xf numFmtId="0" fontId="5" fillId="0" borderId="21" xfId="0" applyFont="1" applyBorder="1" applyAlignment="1">
      <alignment vertical="center" wrapText="1"/>
    </xf>
    <xf numFmtId="0" fontId="5" fillId="0" borderId="21" xfId="0" applyFont="1" applyBorder="1" applyAlignment="1">
      <alignment vertical="center" textRotation="90"/>
    </xf>
    <xf numFmtId="0" fontId="6" fillId="0" borderId="1" xfId="0" applyFont="1" applyBorder="1" applyAlignment="1">
      <alignment horizontal="center" vertical="center" wrapText="1"/>
    </xf>
    <xf numFmtId="0" fontId="5" fillId="0" borderId="21" xfId="0" applyFont="1" applyBorder="1" applyAlignment="1">
      <alignment horizontal="center" vertical="center"/>
    </xf>
    <xf numFmtId="0" fontId="6" fillId="0" borderId="21" xfId="0" applyFont="1" applyBorder="1" applyAlignment="1">
      <alignment horizontal="center" vertical="center"/>
    </xf>
    <xf numFmtId="14" fontId="5" fillId="0" borderId="21" xfId="0" applyNumberFormat="1" applyFont="1" applyBorder="1" applyAlignment="1">
      <alignment horizontal="center" vertical="center"/>
    </xf>
    <xf numFmtId="0" fontId="5" fillId="0" borderId="76" xfId="0" applyFont="1" applyBorder="1" applyAlignment="1">
      <alignment vertical="center"/>
    </xf>
    <xf numFmtId="0" fontId="8" fillId="0" borderId="76" xfId="0" applyFont="1" applyBorder="1"/>
    <xf numFmtId="0" fontId="8" fillId="0" borderId="32" xfId="0" applyFont="1" applyBorder="1"/>
    <xf numFmtId="0" fontId="4" fillId="0" borderId="78" xfId="0" applyFont="1" applyBorder="1" applyAlignment="1">
      <alignment horizontal="left" vertical="center" wrapText="1"/>
    </xf>
    <xf numFmtId="0" fontId="7" fillId="0" borderId="76" xfId="0" applyFont="1" applyBorder="1" applyAlignment="1">
      <alignment horizontal="center" vertical="center" wrapText="1"/>
    </xf>
    <xf numFmtId="0" fontId="8" fillId="0" borderId="76" xfId="0" applyFont="1" applyBorder="1" applyAlignment="1">
      <alignment vertical="center" wrapText="1"/>
    </xf>
    <xf numFmtId="0" fontId="5" fillId="0" borderId="72" xfId="0" applyFont="1" applyBorder="1" applyAlignment="1">
      <alignment vertical="center" wrapText="1"/>
    </xf>
    <xf numFmtId="0" fontId="5" fillId="0" borderId="72" xfId="0" applyFont="1" applyBorder="1" applyAlignment="1">
      <alignment horizontal="center" vertical="center"/>
    </xf>
    <xf numFmtId="0" fontId="7" fillId="0" borderId="39" xfId="0" applyFont="1" applyBorder="1" applyAlignment="1">
      <alignment horizontal="center" vertical="center"/>
    </xf>
    <xf numFmtId="14" fontId="5" fillId="0" borderId="72" xfId="0" applyNumberFormat="1" applyFont="1" applyBorder="1" applyAlignment="1">
      <alignment horizontal="center" vertical="center"/>
    </xf>
    <xf numFmtId="0" fontId="8" fillId="0" borderId="79" xfId="0" applyFont="1" applyBorder="1"/>
    <xf numFmtId="0" fontId="7" fillId="0" borderId="76" xfId="0" applyFont="1" applyBorder="1" applyAlignment="1">
      <alignment horizontal="center" vertical="center"/>
    </xf>
    <xf numFmtId="0" fontId="5" fillId="0" borderId="76" xfId="0" applyFont="1" applyBorder="1" applyAlignment="1">
      <alignment horizontal="left" vertical="top" wrapText="1"/>
    </xf>
    <xf numFmtId="0" fontId="7" fillId="0" borderId="79" xfId="0" applyFont="1" applyBorder="1" applyAlignment="1">
      <alignment horizontal="center" vertical="center"/>
    </xf>
    <xf numFmtId="0" fontId="7" fillId="0" borderId="79" xfId="0" applyFont="1" applyBorder="1" applyAlignment="1">
      <alignment horizontal="center" vertical="center" wrapText="1"/>
    </xf>
    <xf numFmtId="0" fontId="8" fillId="0" borderId="79" xfId="0" applyFont="1" applyBorder="1" applyAlignment="1">
      <alignment vertical="center" wrapText="1"/>
    </xf>
    <xf numFmtId="0" fontId="5" fillId="0" borderId="79" xfId="0" applyFont="1" applyBorder="1" applyAlignment="1">
      <alignment horizontal="center" vertical="center"/>
    </xf>
    <xf numFmtId="0" fontId="17" fillId="0" borderId="79" xfId="0" applyFont="1" applyBorder="1" applyAlignment="1" applyProtection="1">
      <alignment horizontal="center" vertical="center" wrapText="1"/>
      <protection hidden="1"/>
    </xf>
    <xf numFmtId="9" fontId="18" fillId="0" borderId="79" xfId="0" applyNumberFormat="1" applyFont="1" applyBorder="1" applyAlignment="1" applyProtection="1">
      <alignment horizontal="center" vertical="center" wrapText="1"/>
      <protection hidden="1"/>
    </xf>
    <xf numFmtId="0" fontId="8" fillId="0" borderId="79" xfId="0" applyFont="1" applyBorder="1" applyAlignment="1">
      <alignment horizontal="center" vertical="center" wrapText="1"/>
    </xf>
    <xf numFmtId="9" fontId="18" fillId="0" borderId="79" xfId="0" applyNumberFormat="1" applyFont="1" applyBorder="1" applyAlignment="1" applyProtection="1">
      <alignment vertical="center" wrapText="1"/>
      <protection hidden="1"/>
    </xf>
    <xf numFmtId="0" fontId="17" fillId="0" borderId="79" xfId="0" applyFont="1" applyBorder="1" applyAlignment="1" applyProtection="1">
      <alignment horizontal="center" vertical="center"/>
      <protection hidden="1"/>
    </xf>
    <xf numFmtId="0" fontId="8" fillId="0" borderId="79" xfId="0" applyFont="1" applyBorder="1" applyAlignment="1">
      <alignment horizontal="center" vertical="center"/>
    </xf>
    <xf numFmtId="0" fontId="5" fillId="0" borderId="79" xfId="0" applyFont="1" applyBorder="1" applyAlignment="1">
      <alignment horizontal="left" vertical="center" wrapText="1"/>
    </xf>
    <xf numFmtId="14" fontId="5" fillId="0" borderId="79" xfId="0" applyNumberFormat="1" applyFont="1" applyBorder="1" applyAlignment="1">
      <alignment horizontal="center" vertical="center"/>
    </xf>
    <xf numFmtId="0" fontId="8" fillId="0" borderId="79" xfId="0" applyFont="1" applyBorder="1" applyAlignment="1">
      <alignment vertical="center"/>
    </xf>
    <xf numFmtId="0" fontId="8" fillId="0" borderId="76" xfId="0" applyFont="1" applyBorder="1" applyAlignment="1">
      <alignment horizontal="center" vertical="center"/>
    </xf>
    <xf numFmtId="0" fontId="17" fillId="0" borderId="76" xfId="0" applyFont="1" applyBorder="1" applyAlignment="1" applyProtection="1">
      <alignment horizontal="center" vertical="center" wrapText="1"/>
      <protection hidden="1"/>
    </xf>
    <xf numFmtId="9" fontId="18" fillId="0" borderId="76" xfId="0" applyNumberFormat="1" applyFont="1" applyBorder="1" applyAlignment="1" applyProtection="1">
      <alignment horizontal="center" vertical="center" wrapText="1"/>
      <protection hidden="1"/>
    </xf>
    <xf numFmtId="0" fontId="8" fillId="0" borderId="76" xfId="0" applyFont="1" applyBorder="1" applyAlignment="1">
      <alignment horizontal="center" vertical="center" wrapText="1"/>
    </xf>
    <xf numFmtId="9" fontId="18" fillId="0" borderId="76" xfId="0" applyNumberFormat="1" applyFont="1" applyBorder="1" applyAlignment="1" applyProtection="1">
      <alignment vertical="center" wrapText="1"/>
      <protection hidden="1"/>
    </xf>
    <xf numFmtId="0" fontId="17" fillId="0" borderId="76" xfId="0" applyFont="1" applyBorder="1" applyAlignment="1" applyProtection="1">
      <alignment horizontal="center" vertical="center"/>
      <protection hidden="1"/>
    </xf>
    <xf numFmtId="0" fontId="5" fillId="0" borderId="76" xfId="0" applyFont="1" applyBorder="1" applyAlignment="1">
      <alignment horizontal="left" vertical="center" wrapText="1"/>
    </xf>
    <xf numFmtId="0" fontId="5" fillId="0" borderId="76" xfId="0" applyFont="1" applyBorder="1" applyAlignment="1">
      <alignment horizontal="center" vertical="center"/>
    </xf>
    <xf numFmtId="14" fontId="8" fillId="0" borderId="76" xfId="0" applyNumberFormat="1" applyFont="1" applyBorder="1" applyAlignment="1">
      <alignment horizontal="center" vertical="center"/>
    </xf>
    <xf numFmtId="0" fontId="4" fillId="0" borderId="33" xfId="0" applyFont="1" applyBorder="1" applyAlignment="1">
      <alignment horizontal="left" vertical="center" wrapText="1"/>
    </xf>
    <xf numFmtId="0" fontId="7" fillId="0" borderId="80" xfId="0" applyFont="1" applyBorder="1" applyAlignment="1">
      <alignment horizontal="center" vertical="center" wrapText="1"/>
    </xf>
    <xf numFmtId="0" fontId="4" fillId="0" borderId="80" xfId="0" applyFont="1" applyBorder="1" applyAlignment="1">
      <alignment horizontal="left" vertical="center" wrapText="1"/>
    </xf>
    <xf numFmtId="0" fontId="4" fillId="0" borderId="80" xfId="0" applyFont="1" applyBorder="1" applyAlignment="1">
      <alignment vertical="center" wrapText="1"/>
    </xf>
    <xf numFmtId="0" fontId="8" fillId="0" borderId="80" xfId="0" quotePrefix="1" applyFont="1" applyBorder="1" applyAlignment="1">
      <alignment vertical="center" wrapText="1"/>
    </xf>
    <xf numFmtId="0" fontId="8" fillId="0" borderId="80" xfId="0" applyFont="1" applyBorder="1" applyAlignment="1">
      <alignment horizontal="left" vertical="center" wrapText="1"/>
    </xf>
    <xf numFmtId="0" fontId="8" fillId="0" borderId="80" xfId="0" applyFont="1" applyBorder="1" applyAlignment="1">
      <alignment horizontal="center" vertical="center" wrapText="1"/>
    </xf>
    <xf numFmtId="0" fontId="17" fillId="21" borderId="80" xfId="0" applyFont="1" applyFill="1" applyBorder="1" applyAlignment="1" applyProtection="1">
      <alignment horizontal="center" vertical="center" wrapText="1"/>
      <protection hidden="1"/>
    </xf>
    <xf numFmtId="9" fontId="18" fillId="0" borderId="80" xfId="0" applyNumberFormat="1" applyFont="1" applyBorder="1" applyAlignment="1" applyProtection="1">
      <alignment horizontal="center" vertical="center" wrapText="1"/>
      <protection hidden="1"/>
    </xf>
    <xf numFmtId="0" fontId="8" fillId="0" borderId="80" xfId="0" applyFont="1" applyBorder="1" applyAlignment="1">
      <alignment vertical="center" wrapText="1"/>
    </xf>
    <xf numFmtId="9" fontId="18" fillId="0" borderId="80" xfId="0" applyNumberFormat="1" applyFont="1" applyBorder="1" applyAlignment="1" applyProtection="1">
      <alignment vertical="center" wrapText="1"/>
      <protection hidden="1"/>
    </xf>
    <xf numFmtId="0" fontId="17" fillId="21" borderId="80" xfId="0" applyFont="1" applyFill="1" applyBorder="1" applyAlignment="1" applyProtection="1">
      <alignment horizontal="center" vertical="center"/>
      <protection hidden="1"/>
    </xf>
    <xf numFmtId="0" fontId="7" fillId="0" borderId="80" xfId="0" applyFont="1" applyBorder="1" applyAlignment="1">
      <alignment horizontal="center" vertical="center"/>
    </xf>
    <xf numFmtId="14" fontId="8" fillId="0" borderId="80" xfId="0" applyNumberFormat="1" applyFont="1" applyBorder="1" applyAlignment="1">
      <alignment horizontal="center" vertical="center" wrapText="1"/>
    </xf>
    <xf numFmtId="0" fontId="18" fillId="0" borderId="80" xfId="0" applyFont="1" applyBorder="1" applyAlignment="1" applyProtection="1">
      <alignment horizontal="center" vertical="center"/>
      <protection hidden="1"/>
    </xf>
    <xf numFmtId="0" fontId="8" fillId="0" borderId="80" xfId="0" applyFont="1" applyBorder="1" applyAlignment="1">
      <alignment horizontal="center" vertical="center" textRotation="90"/>
    </xf>
    <xf numFmtId="9" fontId="18" fillId="0" borderId="80" xfId="0" applyNumberFormat="1" applyFont="1" applyBorder="1" applyAlignment="1" applyProtection="1">
      <alignment horizontal="center" vertical="center"/>
      <protection hidden="1"/>
    </xf>
    <xf numFmtId="9" fontId="18" fillId="0" borderId="81" xfId="0" applyNumberFormat="1" applyFont="1" applyBorder="1" applyAlignment="1" applyProtection="1">
      <alignment horizontal="center" vertical="center"/>
      <protection hidden="1"/>
    </xf>
    <xf numFmtId="0" fontId="8" fillId="0" borderId="81" xfId="0" applyFont="1" applyBorder="1" applyAlignment="1">
      <alignment horizontal="center" vertical="center" textRotation="90"/>
    </xf>
    <xf numFmtId="9" fontId="8" fillId="0" borderId="81" xfId="1" applyFont="1" applyBorder="1" applyAlignment="1">
      <alignment horizontal="center" vertical="center"/>
    </xf>
    <xf numFmtId="0" fontId="17" fillId="0" borderId="80" xfId="0" applyFont="1" applyBorder="1" applyAlignment="1" applyProtection="1">
      <alignment horizontal="center" vertical="center" textRotation="90" wrapText="1"/>
      <protection hidden="1"/>
    </xf>
    <xf numFmtId="0" fontId="17" fillId="0" borderId="80" xfId="0" applyFont="1" applyBorder="1" applyAlignment="1" applyProtection="1">
      <alignment horizontal="center" vertical="center" textRotation="90"/>
      <protection hidden="1"/>
    </xf>
    <xf numFmtId="0" fontId="8" fillId="0" borderId="33" xfId="0" quotePrefix="1" applyFont="1" applyBorder="1" applyAlignment="1">
      <alignment vertical="center" wrapText="1"/>
    </xf>
    <xf numFmtId="0" fontId="17" fillId="21" borderId="33" xfId="0" applyFont="1" applyFill="1" applyBorder="1" applyAlignment="1" applyProtection="1">
      <alignment horizontal="center" vertical="center" wrapText="1"/>
      <protection hidden="1"/>
    </xf>
    <xf numFmtId="0" fontId="17" fillId="21" borderId="33" xfId="0" applyFont="1" applyFill="1" applyBorder="1" applyAlignment="1" applyProtection="1">
      <alignment horizontal="center" vertical="center"/>
      <protection hidden="1"/>
    </xf>
    <xf numFmtId="0" fontId="17" fillId="26" borderId="0" xfId="0" applyFont="1" applyFill="1" applyAlignment="1">
      <alignment horizontal="center" vertical="center" textRotation="90"/>
    </xf>
    <xf numFmtId="0" fontId="17" fillId="26" borderId="3" xfId="0" applyFont="1" applyFill="1" applyBorder="1" applyAlignment="1">
      <alignment horizontal="center" vertical="center" textRotation="90"/>
    </xf>
    <xf numFmtId="0" fontId="4" fillId="0" borderId="32" xfId="0" applyFont="1" applyBorder="1" applyAlignment="1">
      <alignment horizontal="left" vertical="center" wrapText="1"/>
    </xf>
    <xf numFmtId="0" fontId="4" fillId="0" borderId="39" xfId="0" applyFont="1" applyBorder="1" applyAlignment="1">
      <alignment horizontal="left"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4" fillId="0" borderId="33" xfId="0" applyFont="1" applyBorder="1" applyAlignment="1">
      <alignment horizontal="left" vertical="center" wrapText="1"/>
    </xf>
    <xf numFmtId="0" fontId="17" fillId="0" borderId="32" xfId="0" applyFont="1" applyBorder="1" applyAlignment="1" applyProtection="1">
      <alignment horizontal="center" vertical="center" wrapText="1"/>
      <protection hidden="1"/>
    </xf>
    <xf numFmtId="0" fontId="17" fillId="0" borderId="33"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protection hidden="1"/>
    </xf>
    <xf numFmtId="0" fontId="17" fillId="0" borderId="33" xfId="0" applyFont="1" applyBorder="1" applyAlignment="1" applyProtection="1">
      <alignment horizontal="center" vertical="center"/>
      <protection hidden="1"/>
    </xf>
    <xf numFmtId="9" fontId="18" fillId="0" borderId="32" xfId="0" applyNumberFormat="1" applyFont="1" applyBorder="1" applyAlignment="1" applyProtection="1">
      <alignment horizontal="center" vertical="center" wrapText="1"/>
      <protection hidden="1"/>
    </xf>
    <xf numFmtId="9" fontId="18" fillId="0" borderId="33" xfId="0" applyNumberFormat="1" applyFont="1" applyBorder="1" applyAlignment="1" applyProtection="1">
      <alignment horizontal="center" vertical="center" wrapText="1"/>
      <protection hidden="1"/>
    </xf>
    <xf numFmtId="0" fontId="4" fillId="0" borderId="1" xfId="0" applyFont="1" applyBorder="1" applyAlignment="1">
      <alignment horizontal="left" vertical="center"/>
    </xf>
    <xf numFmtId="0" fontId="2" fillId="25" borderId="0" xfId="0" applyFont="1" applyFill="1" applyAlignment="1">
      <alignment horizontal="center" vertical="center"/>
    </xf>
    <xf numFmtId="0" fontId="2" fillId="25" borderId="10" xfId="0" applyFont="1" applyFill="1" applyBorder="1" applyAlignment="1">
      <alignment horizontal="center" vertical="center"/>
    </xf>
    <xf numFmtId="0" fontId="2" fillId="25" borderId="3" xfId="0" applyFont="1" applyFill="1" applyBorder="1" applyAlignment="1">
      <alignment horizontal="center" vertical="center"/>
    </xf>
    <xf numFmtId="0" fontId="2" fillId="25" borderId="11" xfId="0" applyFont="1" applyFill="1" applyBorder="1" applyAlignment="1">
      <alignment horizontal="center" vertical="center"/>
    </xf>
    <xf numFmtId="0" fontId="2" fillId="25" borderId="15" xfId="0" applyFont="1" applyFill="1" applyBorder="1" applyAlignment="1">
      <alignment horizontal="center" vertical="center" wrapText="1"/>
    </xf>
    <xf numFmtId="0" fontId="7" fillId="26" borderId="67" xfId="0" applyFont="1" applyFill="1" applyBorder="1" applyAlignment="1">
      <alignment horizontal="center" vertical="center" textRotation="90" wrapText="1"/>
    </xf>
    <xf numFmtId="0" fontId="7" fillId="26" borderId="37" xfId="0" applyFont="1" applyFill="1" applyBorder="1" applyAlignment="1">
      <alignment horizontal="center" vertical="center" textRotation="90" wrapText="1"/>
    </xf>
    <xf numFmtId="0" fontId="7" fillId="26" borderId="62" xfId="0" applyFont="1" applyFill="1" applyBorder="1" applyAlignment="1">
      <alignment horizontal="center" vertical="center" textRotation="90" wrapText="1"/>
    </xf>
    <xf numFmtId="0" fontId="17" fillId="26" borderId="8" xfId="0" applyFont="1" applyFill="1" applyBorder="1" applyAlignment="1">
      <alignment horizontal="center" vertical="center" textRotation="90"/>
    </xf>
    <xf numFmtId="0" fontId="17" fillId="26" borderId="18" xfId="0" applyFont="1" applyFill="1" applyBorder="1" applyAlignment="1">
      <alignment horizontal="center" vertical="center" textRotation="90"/>
    </xf>
    <xf numFmtId="0" fontId="2" fillId="25" borderId="8" xfId="0" applyFont="1" applyFill="1" applyBorder="1" applyAlignment="1">
      <alignment horizontal="center" vertical="center" wrapText="1"/>
    </xf>
    <xf numFmtId="0" fontId="2" fillId="25" borderId="18" xfId="0" applyFont="1" applyFill="1" applyBorder="1" applyAlignment="1">
      <alignment horizontal="center" vertical="center" wrapText="1"/>
    </xf>
    <xf numFmtId="0" fontId="2" fillId="25" borderId="15" xfId="0" applyFont="1" applyFill="1" applyBorder="1" applyAlignment="1">
      <alignment horizontal="center" vertical="center" textRotation="255" wrapText="1"/>
    </xf>
    <xf numFmtId="0" fontId="9" fillId="26" borderId="8" xfId="0" applyFont="1" applyFill="1" applyBorder="1" applyAlignment="1">
      <alignment textRotation="255"/>
    </xf>
    <xf numFmtId="0" fontId="9" fillId="26" borderId="18" xfId="0" applyFont="1" applyFill="1" applyBorder="1" applyAlignment="1">
      <alignment textRotation="255"/>
    </xf>
    <xf numFmtId="0" fontId="17" fillId="26" borderId="4" xfId="0" applyFont="1" applyFill="1" applyBorder="1" applyAlignment="1">
      <alignment horizontal="center" vertical="center" wrapText="1"/>
    </xf>
    <xf numFmtId="0" fontId="17" fillId="26" borderId="5" xfId="0" applyFont="1" applyFill="1" applyBorder="1" applyAlignment="1">
      <alignment horizontal="center" vertical="center" wrapText="1"/>
    </xf>
    <xf numFmtId="0" fontId="17" fillId="26" borderId="16" xfId="0" applyFont="1" applyFill="1" applyBorder="1" applyAlignment="1">
      <alignment horizontal="center" vertical="center" wrapText="1"/>
    </xf>
    <xf numFmtId="0" fontId="17" fillId="26" borderId="15" xfId="0" applyFont="1" applyFill="1" applyBorder="1" applyAlignment="1">
      <alignment horizontal="center" vertical="center" textRotation="90"/>
    </xf>
    <xf numFmtId="0" fontId="17" fillId="26" borderId="15" xfId="0" applyFont="1" applyFill="1" applyBorder="1" applyAlignment="1">
      <alignment horizontal="center" vertical="center" textRotation="90" wrapText="1"/>
    </xf>
    <xf numFmtId="0" fontId="17" fillId="26" borderId="18" xfId="0" applyFont="1" applyFill="1" applyBorder="1" applyAlignment="1">
      <alignment horizontal="center" vertical="center" textRotation="90" wrapText="1"/>
    </xf>
    <xf numFmtId="0" fontId="17" fillId="26" borderId="9" xfId="0" applyFont="1" applyFill="1" applyBorder="1" applyAlignment="1">
      <alignment horizontal="center" vertical="center" textRotation="90"/>
    </xf>
    <xf numFmtId="0" fontId="17" fillId="26" borderId="2" xfId="0" applyFont="1" applyFill="1" applyBorder="1" applyAlignment="1">
      <alignment horizontal="center" vertical="center" textRotation="90"/>
    </xf>
    <xf numFmtId="0" fontId="3" fillId="0" borderId="55" xfId="0" applyFont="1" applyBorder="1" applyAlignment="1">
      <alignment horizontal="left" vertical="center"/>
    </xf>
    <xf numFmtId="0" fontId="3" fillId="0" borderId="1" xfId="0" applyFont="1" applyBorder="1" applyAlignment="1">
      <alignment horizontal="left" vertical="center"/>
    </xf>
    <xf numFmtId="0" fontId="3" fillId="0" borderId="55" xfId="0" applyFont="1" applyBorder="1" applyAlignment="1">
      <alignment horizontal="left"/>
    </xf>
    <xf numFmtId="0" fontId="3" fillId="0" borderId="1" xfId="0" applyFont="1" applyBorder="1" applyAlignment="1">
      <alignment horizontal="left"/>
    </xf>
    <xf numFmtId="0" fontId="4" fillId="0" borderId="56" xfId="0" applyFont="1" applyBorder="1" applyAlignment="1">
      <alignment horizontal="left" vertical="center"/>
    </xf>
    <xf numFmtId="0" fontId="4" fillId="0" borderId="1" xfId="0" applyFont="1" applyBorder="1" applyAlignment="1">
      <alignment horizontal="left" vertical="center" wrapText="1"/>
    </xf>
    <xf numFmtId="0" fontId="4" fillId="0" borderId="56" xfId="0" applyFont="1" applyBorder="1" applyAlignment="1">
      <alignment horizontal="left" vertical="center" wrapText="1"/>
    </xf>
    <xf numFmtId="0" fontId="5" fillId="0" borderId="1" xfId="0" applyFont="1" applyBorder="1" applyAlignment="1">
      <alignment horizontal="left" vertical="center" wrapText="1"/>
    </xf>
    <xf numFmtId="0" fontId="2" fillId="0" borderId="69" xfId="0" applyFont="1" applyBorder="1" applyAlignment="1">
      <alignment horizontal="center" vertical="center"/>
    </xf>
    <xf numFmtId="0" fontId="2" fillId="0" borderId="66" xfId="0" applyFont="1" applyBorder="1" applyAlignment="1">
      <alignment horizontal="center" vertical="center"/>
    </xf>
    <xf numFmtId="0" fontId="2" fillId="0" borderId="70" xfId="0" applyFont="1" applyBorder="1" applyAlignment="1">
      <alignment horizontal="center" vertical="center"/>
    </xf>
    <xf numFmtId="0" fontId="2" fillId="0" borderId="55" xfId="0" applyFont="1" applyBorder="1" applyAlignment="1">
      <alignment horizontal="center" vertical="center"/>
    </xf>
    <xf numFmtId="0" fontId="2" fillId="0" borderId="1" xfId="0" applyFont="1" applyBorder="1" applyAlignment="1">
      <alignment horizontal="center" vertical="center"/>
    </xf>
    <xf numFmtId="0" fontId="2" fillId="0" borderId="56" xfId="0" applyFont="1" applyBorder="1" applyAlignment="1">
      <alignment horizontal="center" vertical="center"/>
    </xf>
    <xf numFmtId="0" fontId="7" fillId="0" borderId="55" xfId="0" applyFont="1" applyBorder="1" applyAlignment="1">
      <alignment horizontal="left"/>
    </xf>
    <xf numFmtId="0" fontId="7" fillId="0" borderId="1" xfId="0" applyFont="1" applyBorder="1" applyAlignment="1">
      <alignment horizontal="left"/>
    </xf>
    <xf numFmtId="0" fontId="2" fillId="25" borderId="36" xfId="0" applyFont="1" applyFill="1" applyBorder="1" applyAlignment="1">
      <alignment horizontal="center" vertical="center" textRotation="90" wrapText="1"/>
    </xf>
    <xf numFmtId="0" fontId="10" fillId="26" borderId="36" xfId="0" applyFont="1" applyFill="1" applyBorder="1" applyAlignment="1">
      <alignment horizontal="center" vertical="center"/>
    </xf>
    <xf numFmtId="0" fontId="10" fillId="26" borderId="25" xfId="0" applyFont="1" applyFill="1" applyBorder="1" applyAlignment="1">
      <alignment horizontal="center" vertical="center"/>
    </xf>
    <xf numFmtId="0" fontId="2" fillId="25" borderId="8" xfId="0" applyFont="1" applyFill="1" applyBorder="1" applyAlignment="1">
      <alignment horizontal="center" vertical="center" textRotation="90" wrapText="1"/>
    </xf>
    <xf numFmtId="0" fontId="9" fillId="26" borderId="8" xfId="0" applyFont="1" applyFill="1" applyBorder="1" applyAlignment="1">
      <alignment horizontal="center"/>
    </xf>
    <xf numFmtId="0" fontId="9" fillId="26" borderId="18" xfId="0" applyFont="1" applyFill="1" applyBorder="1" applyAlignment="1">
      <alignment horizontal="center"/>
    </xf>
    <xf numFmtId="0" fontId="7" fillId="0" borderId="55" xfId="0" applyFont="1" applyBorder="1" applyAlignment="1">
      <alignment horizontal="left" vertical="center" wrapText="1"/>
    </xf>
    <xf numFmtId="0" fontId="7" fillId="0" borderId="1" xfId="0" applyFont="1" applyBorder="1" applyAlignment="1">
      <alignment horizontal="left" vertical="center" wrapText="1"/>
    </xf>
    <xf numFmtId="0" fontId="2" fillId="28" borderId="15" xfId="0" applyFont="1" applyFill="1" applyBorder="1" applyAlignment="1">
      <alignment horizontal="center" vertical="center" wrapText="1"/>
    </xf>
    <xf numFmtId="0" fontId="5" fillId="0" borderId="56" xfId="0" applyFont="1" applyBorder="1" applyAlignment="1">
      <alignment horizontal="left" vertical="center" wrapText="1"/>
    </xf>
    <xf numFmtId="0" fontId="7" fillId="26" borderId="60" xfId="0" applyFont="1" applyFill="1" applyBorder="1" applyAlignment="1">
      <alignment horizontal="center" vertical="center" textRotation="90" wrapText="1"/>
    </xf>
    <xf numFmtId="0" fontId="7" fillId="26" borderId="35" xfId="0" applyFont="1" applyFill="1" applyBorder="1" applyAlignment="1">
      <alignment horizontal="center" vertical="center" textRotation="90" wrapText="1"/>
    </xf>
    <xf numFmtId="0" fontId="7" fillId="26" borderId="63" xfId="0" applyFont="1" applyFill="1" applyBorder="1" applyAlignment="1">
      <alignment horizontal="center" vertical="center" textRotation="90" wrapText="1"/>
    </xf>
    <xf numFmtId="0" fontId="7" fillId="26" borderId="68" xfId="0" applyFont="1" applyFill="1" applyBorder="1" applyAlignment="1">
      <alignment horizontal="center" vertical="center" textRotation="90" wrapText="1"/>
    </xf>
    <xf numFmtId="0" fontId="7" fillId="26" borderId="38" xfId="0" applyFont="1" applyFill="1" applyBorder="1" applyAlignment="1">
      <alignment horizontal="center" vertical="center" textRotation="90" wrapText="1"/>
    </xf>
    <xf numFmtId="0" fontId="7" fillId="26" borderId="65" xfId="0" applyFont="1" applyFill="1" applyBorder="1" applyAlignment="1">
      <alignment horizontal="center" vertical="center" textRotation="90" wrapText="1"/>
    </xf>
    <xf numFmtId="0" fontId="7" fillId="26" borderId="30" xfId="0" applyFont="1" applyFill="1" applyBorder="1" applyAlignment="1">
      <alignment horizontal="center" vertical="center" textRotation="90" wrapText="1"/>
    </xf>
    <xf numFmtId="0" fontId="7" fillId="26" borderId="20" xfId="0" applyFont="1" applyFill="1" applyBorder="1" applyAlignment="1">
      <alignment horizontal="center" vertical="center" textRotation="90" wrapText="1"/>
    </xf>
    <xf numFmtId="0" fontId="7" fillId="26" borderId="64" xfId="0" applyFont="1" applyFill="1" applyBorder="1" applyAlignment="1">
      <alignment horizontal="center" vertical="center" textRotation="90" wrapText="1"/>
    </xf>
    <xf numFmtId="0" fontId="2" fillId="27" borderId="9" xfId="0" applyFont="1" applyFill="1" applyBorder="1" applyAlignment="1">
      <alignment horizontal="center" vertical="center" wrapText="1"/>
    </xf>
    <xf numFmtId="0" fontId="2" fillId="27" borderId="0" xfId="0" applyFont="1" applyFill="1" applyAlignment="1">
      <alignment horizontal="center" vertical="center" wrapText="1"/>
    </xf>
    <xf numFmtId="0" fontId="2" fillId="27" borderId="10" xfId="0" applyFont="1" applyFill="1" applyBorder="1" applyAlignment="1">
      <alignment horizontal="center" vertical="center" wrapText="1"/>
    </xf>
    <xf numFmtId="0" fontId="2" fillId="29" borderId="34"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2" fillId="29" borderId="11" xfId="0" applyFont="1" applyFill="1" applyBorder="1" applyAlignment="1">
      <alignment horizontal="center" vertical="center" wrapText="1"/>
    </xf>
    <xf numFmtId="0" fontId="6" fillId="0" borderId="7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76" xfId="0" applyFont="1" applyBorder="1" applyAlignment="1">
      <alignment horizontal="left" vertical="center" wrapText="1"/>
    </xf>
    <xf numFmtId="0" fontId="4" fillId="0" borderId="79" xfId="0" applyFont="1" applyBorder="1" applyAlignment="1">
      <alignment horizontal="left" vertical="center" wrapText="1"/>
    </xf>
    <xf numFmtId="0" fontId="2" fillId="30" borderId="9" xfId="0" applyFont="1" applyFill="1" applyBorder="1" applyAlignment="1">
      <alignment horizontal="center" vertical="center" wrapText="1"/>
    </xf>
    <xf numFmtId="0" fontId="2" fillId="30" borderId="0" xfId="0" applyFont="1" applyFill="1" applyAlignment="1">
      <alignment horizontal="center" vertical="center" wrapText="1"/>
    </xf>
    <xf numFmtId="0" fontId="2" fillId="30" borderId="10" xfId="0" applyFont="1" applyFill="1" applyBorder="1" applyAlignment="1">
      <alignment horizontal="center" vertical="center" wrapText="1"/>
    </xf>
    <xf numFmtId="0" fontId="2" fillId="30" borderId="2" xfId="0" applyFont="1" applyFill="1" applyBorder="1" applyAlignment="1">
      <alignment horizontal="center" vertical="center" wrapText="1"/>
    </xf>
    <xf numFmtId="0" fontId="2" fillId="30" borderId="3" xfId="0" applyFont="1" applyFill="1" applyBorder="1" applyAlignment="1">
      <alignment horizontal="center" vertical="center" wrapText="1"/>
    </xf>
    <xf numFmtId="0" fontId="2" fillId="30" borderId="11" xfId="0" applyFont="1" applyFill="1" applyBorder="1" applyAlignment="1">
      <alignment horizontal="center" vertical="center" wrapText="1"/>
    </xf>
    <xf numFmtId="0" fontId="7" fillId="0" borderId="4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2" fillId="30" borderId="73" xfId="0" applyFont="1" applyFill="1" applyBorder="1" applyAlignment="1">
      <alignment horizontal="center" vertical="center" wrapText="1"/>
    </xf>
    <xf numFmtId="0" fontId="2" fillId="30" borderId="74" xfId="0" applyFont="1" applyFill="1" applyBorder="1" applyAlignment="1">
      <alignment horizontal="center" vertical="center" wrapText="1"/>
    </xf>
    <xf numFmtId="0" fontId="2" fillId="30" borderId="75"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7" fillId="0" borderId="40" xfId="0" applyFont="1" applyBorder="1" applyAlignment="1" applyProtection="1">
      <alignment horizontal="center" vertical="center" textRotation="90" wrapText="1"/>
      <protection hidden="1"/>
    </xf>
    <xf numFmtId="0" fontId="17" fillId="0" borderId="33" xfId="0" applyFont="1" applyBorder="1" applyAlignment="1" applyProtection="1">
      <alignment horizontal="center" vertical="center" textRotation="90" wrapText="1"/>
      <protection hidden="1"/>
    </xf>
    <xf numFmtId="0" fontId="17" fillId="0" borderId="32" xfId="0" applyFont="1" applyBorder="1" applyAlignment="1" applyProtection="1">
      <alignment horizontal="center" vertical="center" textRotation="90" wrapText="1"/>
      <protection hidden="1"/>
    </xf>
    <xf numFmtId="0" fontId="17" fillId="0" borderId="32" xfId="0" applyFont="1" applyBorder="1" applyAlignment="1" applyProtection="1">
      <alignment horizontal="center" vertical="center" textRotation="90"/>
      <protection hidden="1"/>
    </xf>
    <xf numFmtId="0" fontId="17" fillId="0" borderId="33" xfId="0" applyFont="1" applyBorder="1" applyAlignment="1" applyProtection="1">
      <alignment horizontal="center" vertical="center" textRotation="90"/>
      <protection hidden="1"/>
    </xf>
    <xf numFmtId="0" fontId="8" fillId="0" borderId="40" xfId="0" applyFont="1" applyBorder="1" applyAlignment="1">
      <alignment horizontal="center" vertical="center" textRotation="90"/>
    </xf>
    <xf numFmtId="0" fontId="8" fillId="0" borderId="33" xfId="0" applyFont="1" applyBorder="1" applyAlignment="1">
      <alignment horizontal="center" vertical="center" textRotation="90"/>
    </xf>
    <xf numFmtId="0" fontId="8" fillId="0" borderId="32" xfId="0" applyFont="1" applyBorder="1" applyAlignment="1">
      <alignment horizontal="center" vertical="center" textRotation="90"/>
    </xf>
    <xf numFmtId="0" fontId="17" fillId="0" borderId="40" xfId="0" applyFont="1" applyBorder="1" applyAlignment="1" applyProtection="1">
      <alignment horizontal="center" vertical="center" textRotation="90"/>
      <protection hidden="1"/>
    </xf>
    <xf numFmtId="0" fontId="8" fillId="0" borderId="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 xfId="0" applyFont="1" applyBorder="1" applyAlignment="1">
      <alignment horizontal="center" vertical="center"/>
    </xf>
    <xf numFmtId="0" fontId="21" fillId="4" borderId="1"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22" fillId="4" borderId="1" xfId="3" applyFont="1" applyFill="1" applyBorder="1" applyAlignment="1">
      <alignment horizontal="center" vertical="center" wrapText="1"/>
    </xf>
    <xf numFmtId="0" fontId="7" fillId="5" borderId="1" xfId="0" applyFont="1" applyFill="1" applyBorder="1" applyAlignment="1">
      <alignment horizontal="center"/>
    </xf>
    <xf numFmtId="0" fontId="2" fillId="5" borderId="1" xfId="0" applyFont="1" applyFill="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justify" vertical="center"/>
    </xf>
    <xf numFmtId="0" fontId="8" fillId="0" borderId="1" xfId="0" applyFont="1" applyBorder="1" applyAlignment="1">
      <alignment horizontal="justify" vertical="center" wrapText="1"/>
    </xf>
    <xf numFmtId="0" fontId="2" fillId="5" borderId="22" xfId="0" applyFont="1" applyFill="1" applyBorder="1" applyAlignment="1">
      <alignment horizontal="center" vertical="center"/>
    </xf>
    <xf numFmtId="0" fontId="2" fillId="5" borderId="0" xfId="0" applyFont="1" applyFill="1" applyAlignment="1">
      <alignment horizontal="center" vertical="center"/>
    </xf>
    <xf numFmtId="0" fontId="0" fillId="0" borderId="0" xfId="0" applyAlignment="1">
      <alignment horizontal="center" vertical="center"/>
    </xf>
    <xf numFmtId="0" fontId="2" fillId="13" borderId="12" xfId="0" applyFont="1" applyFill="1" applyBorder="1" applyAlignment="1">
      <alignment horizontal="center"/>
    </xf>
    <xf numFmtId="0" fontId="2" fillId="14" borderId="30" xfId="0" applyFont="1" applyFill="1" applyBorder="1" applyAlignment="1">
      <alignment horizontal="center" vertical="center"/>
    </xf>
    <xf numFmtId="0" fontId="32" fillId="0" borderId="6" xfId="0" applyFont="1" applyBorder="1" applyAlignment="1">
      <alignment horizontal="center" vertical="center" wrapText="1"/>
    </xf>
    <xf numFmtId="0" fontId="32" fillId="0" borderId="7" xfId="0" applyFont="1" applyBorder="1" applyAlignment="1">
      <alignment horizontal="center" vertical="center"/>
    </xf>
    <xf numFmtId="0" fontId="32" fillId="0" borderId="41" xfId="0" applyFont="1" applyBorder="1" applyAlignment="1">
      <alignment horizontal="center" vertical="center"/>
    </xf>
    <xf numFmtId="0" fontId="32" fillId="0" borderId="9"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11" xfId="0" applyFont="1" applyBorder="1" applyAlignment="1">
      <alignment horizontal="center" vertical="center"/>
    </xf>
    <xf numFmtId="0" fontId="32" fillId="0" borderId="7" xfId="0" applyFont="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5" fillId="22" borderId="0" xfId="0" applyFont="1" applyFill="1" applyAlignment="1">
      <alignment horizontal="center" vertical="center" wrapText="1" readingOrder="1"/>
    </xf>
    <xf numFmtId="0" fontId="25" fillId="22" borderId="0" xfId="0" applyFont="1" applyFill="1" applyAlignment="1">
      <alignment horizontal="center" vertical="center" textRotation="90" wrapText="1" readingOrder="1"/>
    </xf>
    <xf numFmtId="0" fontId="25" fillId="22" borderId="10" xfId="0" applyFont="1" applyFill="1" applyBorder="1" applyAlignment="1">
      <alignment horizontal="center" vertical="center" textRotation="90" wrapText="1" readingOrder="1"/>
    </xf>
    <xf numFmtId="0" fontId="33" fillId="20" borderId="42" xfId="0" applyFont="1" applyFill="1" applyBorder="1" applyAlignment="1">
      <alignment horizontal="center" vertical="center" wrapText="1" readingOrder="1"/>
    </xf>
    <xf numFmtId="0" fontId="33" fillId="20" borderId="43" xfId="0" applyFont="1" applyFill="1" applyBorder="1" applyAlignment="1">
      <alignment horizontal="center" vertical="center" wrapText="1" readingOrder="1"/>
    </xf>
    <xf numFmtId="0" fontId="33" fillId="20" borderId="44" xfId="0" applyFont="1" applyFill="1" applyBorder="1" applyAlignment="1">
      <alignment horizontal="center" vertical="center" wrapText="1" readingOrder="1"/>
    </xf>
    <xf numFmtId="0" fontId="33" fillId="20" borderId="45" xfId="0" applyFont="1" applyFill="1" applyBorder="1" applyAlignment="1">
      <alignment horizontal="center" vertical="center" wrapText="1" readingOrder="1"/>
    </xf>
    <xf numFmtId="0" fontId="33" fillId="20" borderId="0" xfId="0" applyFont="1" applyFill="1" applyAlignment="1">
      <alignment horizontal="center" vertical="center" wrapText="1" readingOrder="1"/>
    </xf>
    <xf numFmtId="0" fontId="33" fillId="20" borderId="46" xfId="0" applyFont="1" applyFill="1" applyBorder="1" applyAlignment="1">
      <alignment horizontal="center" vertical="center" wrapText="1" readingOrder="1"/>
    </xf>
    <xf numFmtId="0" fontId="33" fillId="20" borderId="47" xfId="0" applyFont="1" applyFill="1" applyBorder="1" applyAlignment="1">
      <alignment horizontal="center" vertical="center" wrapText="1" readingOrder="1"/>
    </xf>
    <xf numFmtId="0" fontId="33" fillId="20" borderId="48" xfId="0" applyFont="1" applyFill="1" applyBorder="1" applyAlignment="1">
      <alignment horizontal="center" vertical="center" wrapText="1" readingOrder="1"/>
    </xf>
    <xf numFmtId="0" fontId="33" fillId="20" borderId="49" xfId="0" applyFont="1" applyFill="1" applyBorder="1" applyAlignment="1">
      <alignment horizontal="center" vertical="center" wrapText="1" readingOrder="1"/>
    </xf>
    <xf numFmtId="0" fontId="32" fillId="0" borderId="9" xfId="0" applyFont="1" applyBorder="1" applyAlignment="1">
      <alignment horizontal="center" vertical="center" wrapText="1"/>
    </xf>
    <xf numFmtId="0" fontId="33" fillId="23" borderId="42" xfId="0" applyFont="1" applyFill="1" applyBorder="1" applyAlignment="1">
      <alignment horizontal="center" vertical="center" wrapText="1" readingOrder="1"/>
    </xf>
    <xf numFmtId="0" fontId="33" fillId="23" borderId="43" xfId="0" applyFont="1" applyFill="1" applyBorder="1" applyAlignment="1">
      <alignment horizontal="center" vertical="center" wrapText="1" readingOrder="1"/>
    </xf>
    <xf numFmtId="0" fontId="33" fillId="23" borderId="44" xfId="0" applyFont="1" applyFill="1" applyBorder="1" applyAlignment="1">
      <alignment horizontal="center" vertical="center" wrapText="1" readingOrder="1"/>
    </xf>
    <xf numFmtId="0" fontId="33" fillId="23" borderId="45" xfId="0" applyFont="1" applyFill="1" applyBorder="1" applyAlignment="1">
      <alignment horizontal="center" vertical="center" wrapText="1" readingOrder="1"/>
    </xf>
    <xf numFmtId="0" fontId="33" fillId="23" borderId="0" xfId="0" applyFont="1" applyFill="1" applyAlignment="1">
      <alignment horizontal="center" vertical="center" wrapText="1" readingOrder="1"/>
    </xf>
    <xf numFmtId="0" fontId="33" fillId="23" borderId="46" xfId="0" applyFont="1" applyFill="1" applyBorder="1" applyAlignment="1">
      <alignment horizontal="center" vertical="center" wrapText="1" readingOrder="1"/>
    </xf>
    <xf numFmtId="0" fontId="33" fillId="23" borderId="47" xfId="0" applyFont="1" applyFill="1" applyBorder="1" applyAlignment="1">
      <alignment horizontal="center" vertical="center" wrapText="1" readingOrder="1"/>
    </xf>
    <xf numFmtId="0" fontId="33" fillId="23" borderId="48" xfId="0" applyFont="1" applyFill="1" applyBorder="1" applyAlignment="1">
      <alignment horizontal="center" vertical="center" wrapText="1" readingOrder="1"/>
    </xf>
    <xf numFmtId="0" fontId="33" fillId="23" borderId="49" xfId="0" applyFont="1" applyFill="1" applyBorder="1" applyAlignment="1">
      <alignment horizontal="center" vertical="center" wrapText="1" readingOrder="1"/>
    </xf>
    <xf numFmtId="0" fontId="33" fillId="19" borderId="42" xfId="0" applyFont="1" applyFill="1" applyBorder="1" applyAlignment="1">
      <alignment horizontal="center" vertical="center" wrapText="1" readingOrder="1"/>
    </xf>
    <xf numFmtId="0" fontId="33" fillId="19" borderId="43" xfId="0" applyFont="1" applyFill="1" applyBorder="1" applyAlignment="1">
      <alignment horizontal="center" vertical="center" wrapText="1" readingOrder="1"/>
    </xf>
    <xf numFmtId="0" fontId="33" fillId="19" borderId="44" xfId="0" applyFont="1" applyFill="1" applyBorder="1" applyAlignment="1">
      <alignment horizontal="center" vertical="center" wrapText="1" readingOrder="1"/>
    </xf>
    <xf numFmtId="0" fontId="33" fillId="19" borderId="45" xfId="0" applyFont="1" applyFill="1" applyBorder="1" applyAlignment="1">
      <alignment horizontal="center" vertical="center" wrapText="1" readingOrder="1"/>
    </xf>
    <xf numFmtId="0" fontId="33" fillId="19" borderId="0" xfId="0" applyFont="1" applyFill="1" applyAlignment="1">
      <alignment horizontal="center" vertical="center" wrapText="1" readingOrder="1"/>
    </xf>
    <xf numFmtId="0" fontId="33" fillId="19" borderId="46" xfId="0" applyFont="1" applyFill="1" applyBorder="1" applyAlignment="1">
      <alignment horizontal="center" vertical="center" wrapText="1" readingOrder="1"/>
    </xf>
    <xf numFmtId="0" fontId="33" fillId="19" borderId="47" xfId="0" applyFont="1" applyFill="1" applyBorder="1" applyAlignment="1">
      <alignment horizontal="center" vertical="center" wrapText="1" readingOrder="1"/>
    </xf>
    <xf numFmtId="0" fontId="33" fillId="19" borderId="48" xfId="0" applyFont="1" applyFill="1" applyBorder="1" applyAlignment="1">
      <alignment horizontal="center" vertical="center" wrapText="1" readingOrder="1"/>
    </xf>
    <xf numFmtId="0" fontId="33" fillId="19" borderId="49" xfId="0" applyFont="1" applyFill="1" applyBorder="1" applyAlignment="1">
      <alignment horizontal="center" vertical="center" wrapText="1" readingOrder="1"/>
    </xf>
    <xf numFmtId="0" fontId="33" fillId="14" borderId="42" xfId="0" applyFont="1" applyFill="1" applyBorder="1" applyAlignment="1">
      <alignment horizontal="center" vertical="center" wrapText="1" readingOrder="1"/>
    </xf>
    <xf numFmtId="0" fontId="33" fillId="14" borderId="43" xfId="0" applyFont="1" applyFill="1" applyBorder="1" applyAlignment="1">
      <alignment horizontal="center" vertical="center" wrapText="1" readingOrder="1"/>
    </xf>
    <xf numFmtId="0" fontId="33" fillId="14" borderId="44" xfId="0" applyFont="1" applyFill="1" applyBorder="1" applyAlignment="1">
      <alignment horizontal="center" vertical="center" wrapText="1" readingOrder="1"/>
    </xf>
    <xf numFmtId="0" fontId="33" fillId="14" borderId="45" xfId="0" applyFont="1" applyFill="1" applyBorder="1" applyAlignment="1">
      <alignment horizontal="center" vertical="center" wrapText="1" readingOrder="1"/>
    </xf>
    <xf numFmtId="0" fontId="33" fillId="14" borderId="0" xfId="0" applyFont="1" applyFill="1" applyAlignment="1">
      <alignment horizontal="center" vertical="center" wrapText="1" readingOrder="1"/>
    </xf>
    <xf numFmtId="0" fontId="33" fillId="14" borderId="46" xfId="0" applyFont="1" applyFill="1" applyBorder="1" applyAlignment="1">
      <alignment horizontal="center" vertical="center" wrapText="1" readingOrder="1"/>
    </xf>
    <xf numFmtId="0" fontId="33" fillId="14" borderId="47" xfId="0" applyFont="1" applyFill="1" applyBorder="1" applyAlignment="1">
      <alignment horizontal="center" vertical="center" wrapText="1" readingOrder="1"/>
    </xf>
    <xf numFmtId="0" fontId="33" fillId="14" borderId="48" xfId="0" applyFont="1" applyFill="1" applyBorder="1" applyAlignment="1">
      <alignment horizontal="center" vertical="center" wrapText="1" readingOrder="1"/>
    </xf>
    <xf numFmtId="0" fontId="33" fillId="14" borderId="49" xfId="0" applyFont="1" applyFill="1" applyBorder="1" applyAlignment="1">
      <alignment horizontal="center" vertical="center" wrapText="1" readingOrder="1"/>
    </xf>
    <xf numFmtId="0" fontId="26" fillId="0" borderId="6" xfId="0" applyFont="1" applyBorder="1" applyAlignment="1">
      <alignment horizontal="center" vertical="center" wrapText="1"/>
    </xf>
    <xf numFmtId="0" fontId="26" fillId="0" borderId="7" xfId="0" applyFont="1" applyBorder="1" applyAlignment="1">
      <alignment horizontal="center" vertical="center"/>
    </xf>
    <xf numFmtId="0" fontId="26" fillId="0" borderId="41" xfId="0" applyFont="1" applyBorder="1" applyAlignment="1">
      <alignment horizontal="center" vertical="center"/>
    </xf>
    <xf numFmtId="0" fontId="26" fillId="0" borderId="9" xfId="0" applyFont="1" applyBorder="1" applyAlignment="1">
      <alignment horizontal="center" vertical="center"/>
    </xf>
    <xf numFmtId="0" fontId="26" fillId="0" borderId="0" xfId="0" applyFont="1" applyAlignment="1">
      <alignment horizontal="center" vertical="center"/>
    </xf>
    <xf numFmtId="0" fontId="26" fillId="0" borderId="10"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11" xfId="0" applyFont="1" applyBorder="1" applyAlignment="1">
      <alignment horizontal="center" vertical="center"/>
    </xf>
    <xf numFmtId="0" fontId="26" fillId="0" borderId="7" xfId="0" applyFont="1" applyBorder="1" applyAlignment="1">
      <alignment horizontal="center" vertical="center" wrapText="1"/>
    </xf>
    <xf numFmtId="0" fontId="27" fillId="19" borderId="6" xfId="0" applyFont="1" applyFill="1" applyBorder="1" applyAlignment="1" applyProtection="1">
      <alignment horizontal="center" wrapText="1" readingOrder="1"/>
      <protection hidden="1"/>
    </xf>
    <xf numFmtId="0" fontId="27" fillId="19" borderId="7" xfId="0" applyFont="1" applyFill="1" applyBorder="1" applyAlignment="1" applyProtection="1">
      <alignment horizontal="center" wrapText="1" readingOrder="1"/>
      <protection hidden="1"/>
    </xf>
    <xf numFmtId="0" fontId="27" fillId="19" borderId="41" xfId="0" applyFont="1" applyFill="1" applyBorder="1" applyAlignment="1" applyProtection="1">
      <alignment horizontal="center" wrapText="1" readingOrder="1"/>
      <protection hidden="1"/>
    </xf>
    <xf numFmtId="0" fontId="27" fillId="19" borderId="9" xfId="0" applyFont="1" applyFill="1" applyBorder="1" applyAlignment="1" applyProtection="1">
      <alignment horizontal="center" wrapText="1" readingOrder="1"/>
      <protection hidden="1"/>
    </xf>
    <xf numFmtId="0" fontId="27" fillId="19" borderId="0" xfId="0" applyFont="1" applyFill="1" applyAlignment="1" applyProtection="1">
      <alignment horizontal="center" wrapText="1" readingOrder="1"/>
      <protection hidden="1"/>
    </xf>
    <xf numFmtId="0" fontId="27" fillId="19" borderId="10" xfId="0" applyFont="1" applyFill="1" applyBorder="1" applyAlignment="1" applyProtection="1">
      <alignment horizontal="center" wrapText="1" readingOrder="1"/>
      <protection hidden="1"/>
    </xf>
    <xf numFmtId="0" fontId="27" fillId="19" borderId="2" xfId="0" applyFont="1" applyFill="1" applyBorder="1" applyAlignment="1" applyProtection="1">
      <alignment horizontal="center" wrapText="1" readingOrder="1"/>
      <protection hidden="1"/>
    </xf>
    <xf numFmtId="0" fontId="27" fillId="19" borderId="3" xfId="0" applyFont="1" applyFill="1" applyBorder="1" applyAlignment="1" applyProtection="1">
      <alignment horizontal="center" wrapText="1" readingOrder="1"/>
      <protection hidden="1"/>
    </xf>
    <xf numFmtId="0" fontId="27" fillId="19" borderId="11" xfId="0" applyFont="1" applyFill="1" applyBorder="1" applyAlignment="1" applyProtection="1">
      <alignment horizontal="center" wrapText="1" readingOrder="1"/>
      <protection hidden="1"/>
    </xf>
    <xf numFmtId="0" fontId="28" fillId="14" borderId="42" xfId="0" applyFont="1" applyFill="1" applyBorder="1" applyAlignment="1">
      <alignment horizontal="center" vertical="center" wrapText="1" readingOrder="1"/>
    </xf>
    <xf numFmtId="0" fontId="28" fillId="14" borderId="43" xfId="0" applyFont="1" applyFill="1" applyBorder="1" applyAlignment="1">
      <alignment horizontal="center" vertical="center" wrapText="1" readingOrder="1"/>
    </xf>
    <xf numFmtId="0" fontId="28" fillId="14" borderId="44" xfId="0" applyFont="1" applyFill="1" applyBorder="1" applyAlignment="1">
      <alignment horizontal="center" vertical="center" wrapText="1" readingOrder="1"/>
    </xf>
    <xf numFmtId="0" fontId="28" fillId="14" borderId="45" xfId="0" applyFont="1" applyFill="1" applyBorder="1" applyAlignment="1">
      <alignment horizontal="center" vertical="center" wrapText="1" readingOrder="1"/>
    </xf>
    <xf numFmtId="0" fontId="28" fillId="14" borderId="0" xfId="0" applyFont="1" applyFill="1" applyAlignment="1">
      <alignment horizontal="center" vertical="center" wrapText="1" readingOrder="1"/>
    </xf>
    <xf numFmtId="0" fontId="28" fillId="14" borderId="46" xfId="0" applyFont="1" applyFill="1" applyBorder="1" applyAlignment="1">
      <alignment horizontal="center" vertical="center" wrapText="1" readingOrder="1"/>
    </xf>
    <xf numFmtId="0" fontId="28" fillId="14" borderId="47" xfId="0" applyFont="1" applyFill="1" applyBorder="1" applyAlignment="1">
      <alignment horizontal="center" vertical="center" wrapText="1" readingOrder="1"/>
    </xf>
    <xf numFmtId="0" fontId="28" fillId="14" borderId="48" xfId="0" applyFont="1" applyFill="1" applyBorder="1" applyAlignment="1">
      <alignment horizontal="center" vertical="center" wrapText="1" readingOrder="1"/>
    </xf>
    <xf numFmtId="0" fontId="28" fillId="14" borderId="49" xfId="0" applyFont="1" applyFill="1" applyBorder="1" applyAlignment="1">
      <alignment horizontal="center" vertical="center" wrapText="1" readingOrder="1"/>
    </xf>
    <xf numFmtId="0" fontId="27" fillId="14" borderId="6" xfId="0" applyFont="1" applyFill="1" applyBorder="1" applyAlignment="1" applyProtection="1">
      <alignment horizontal="center" wrapText="1" readingOrder="1"/>
      <protection hidden="1"/>
    </xf>
    <xf numFmtId="0" fontId="27" fillId="14" borderId="7" xfId="0" applyFont="1" applyFill="1" applyBorder="1" applyAlignment="1" applyProtection="1">
      <alignment horizontal="center" wrapText="1" readingOrder="1"/>
      <protection hidden="1"/>
    </xf>
    <xf numFmtId="0" fontId="27" fillId="14" borderId="41" xfId="0" applyFont="1" applyFill="1" applyBorder="1" applyAlignment="1" applyProtection="1">
      <alignment horizontal="center" wrapText="1" readingOrder="1"/>
      <protection hidden="1"/>
    </xf>
    <xf numFmtId="0" fontId="27" fillId="14" borderId="9" xfId="0" applyFont="1" applyFill="1" applyBorder="1" applyAlignment="1" applyProtection="1">
      <alignment horizontal="center" wrapText="1" readingOrder="1"/>
      <protection hidden="1"/>
    </xf>
    <xf numFmtId="0" fontId="27" fillId="14" borderId="0" xfId="0" applyFont="1" applyFill="1" applyAlignment="1" applyProtection="1">
      <alignment horizontal="center" wrapText="1" readingOrder="1"/>
      <protection hidden="1"/>
    </xf>
    <xf numFmtId="0" fontId="27" fillId="14" borderId="10" xfId="0" applyFont="1" applyFill="1" applyBorder="1" applyAlignment="1" applyProtection="1">
      <alignment horizontal="center" wrapText="1" readingOrder="1"/>
      <protection hidden="1"/>
    </xf>
    <xf numFmtId="0" fontId="27" fillId="14" borderId="2" xfId="0" applyFont="1" applyFill="1" applyBorder="1" applyAlignment="1" applyProtection="1">
      <alignment horizontal="center" wrapText="1" readingOrder="1"/>
      <protection hidden="1"/>
    </xf>
    <xf numFmtId="0" fontId="27" fillId="14" borderId="3" xfId="0" applyFont="1" applyFill="1" applyBorder="1" applyAlignment="1" applyProtection="1">
      <alignment horizontal="center" wrapText="1" readingOrder="1"/>
      <protection hidden="1"/>
    </xf>
    <xf numFmtId="0" fontId="27" fillId="14" borderId="11" xfId="0" applyFont="1" applyFill="1" applyBorder="1" applyAlignment="1" applyProtection="1">
      <alignment horizontal="center" wrapText="1" readingOrder="1"/>
      <protection hidden="1"/>
    </xf>
    <xf numFmtId="0" fontId="28" fillId="19" borderId="42" xfId="0" applyFont="1" applyFill="1" applyBorder="1" applyAlignment="1">
      <alignment horizontal="center" vertical="center" wrapText="1" readingOrder="1"/>
    </xf>
    <xf numFmtId="0" fontId="28" fillId="19" borderId="43" xfId="0" applyFont="1" applyFill="1" applyBorder="1" applyAlignment="1">
      <alignment horizontal="center" vertical="center" wrapText="1" readingOrder="1"/>
    </xf>
    <xf numFmtId="0" fontId="28" fillId="19" borderId="44" xfId="0" applyFont="1" applyFill="1" applyBorder="1" applyAlignment="1">
      <alignment horizontal="center" vertical="center" wrapText="1" readingOrder="1"/>
    </xf>
    <xf numFmtId="0" fontId="28" fillId="19" borderId="45" xfId="0" applyFont="1" applyFill="1" applyBorder="1" applyAlignment="1">
      <alignment horizontal="center" vertical="center" wrapText="1" readingOrder="1"/>
    </xf>
    <xf numFmtId="0" fontId="28" fillId="19" borderId="0" xfId="0" applyFont="1" applyFill="1" applyAlignment="1">
      <alignment horizontal="center" vertical="center" wrapText="1" readingOrder="1"/>
    </xf>
    <xf numFmtId="0" fontId="28" fillId="19" borderId="46" xfId="0" applyFont="1" applyFill="1" applyBorder="1" applyAlignment="1">
      <alignment horizontal="center" vertical="center" wrapText="1" readingOrder="1"/>
    </xf>
    <xf numFmtId="0" fontId="28" fillId="19" borderId="47" xfId="0" applyFont="1" applyFill="1" applyBorder="1" applyAlignment="1">
      <alignment horizontal="center" vertical="center" wrapText="1" readingOrder="1"/>
    </xf>
    <xf numFmtId="0" fontId="28" fillId="19" borderId="48" xfId="0" applyFont="1" applyFill="1" applyBorder="1" applyAlignment="1">
      <alignment horizontal="center" vertical="center" wrapText="1" readingOrder="1"/>
    </xf>
    <xf numFmtId="0" fontId="28" fillId="19" borderId="49" xfId="0" applyFont="1" applyFill="1" applyBorder="1" applyAlignment="1">
      <alignment horizontal="center" vertical="center" wrapText="1" readingOrder="1"/>
    </xf>
    <xf numFmtId="0" fontId="27" fillId="20" borderId="6" xfId="0" applyFont="1" applyFill="1" applyBorder="1" applyAlignment="1" applyProtection="1">
      <alignment horizontal="center" wrapText="1" readingOrder="1"/>
      <protection hidden="1"/>
    </xf>
    <xf numFmtId="0" fontId="27" fillId="20" borderId="7" xfId="0" applyFont="1" applyFill="1" applyBorder="1" applyAlignment="1" applyProtection="1">
      <alignment horizontal="center" wrapText="1" readingOrder="1"/>
      <protection hidden="1"/>
    </xf>
    <xf numFmtId="0" fontId="27" fillId="20" borderId="41" xfId="0" applyFont="1" applyFill="1" applyBorder="1" applyAlignment="1" applyProtection="1">
      <alignment horizontal="center" wrapText="1" readingOrder="1"/>
      <protection hidden="1"/>
    </xf>
    <xf numFmtId="0" fontId="27" fillId="20" borderId="9" xfId="0" applyFont="1" applyFill="1" applyBorder="1" applyAlignment="1" applyProtection="1">
      <alignment horizontal="center" wrapText="1" readingOrder="1"/>
      <protection hidden="1"/>
    </xf>
    <xf numFmtId="0" fontId="27" fillId="20" borderId="0" xfId="0" applyFont="1" applyFill="1" applyAlignment="1" applyProtection="1">
      <alignment horizontal="center" wrapText="1" readingOrder="1"/>
      <protection hidden="1"/>
    </xf>
    <xf numFmtId="0" fontId="27" fillId="20" borderId="10" xfId="0" applyFont="1" applyFill="1" applyBorder="1" applyAlignment="1" applyProtection="1">
      <alignment horizontal="center" wrapText="1" readingOrder="1"/>
      <protection hidden="1"/>
    </xf>
    <xf numFmtId="0" fontId="27" fillId="20" borderId="2" xfId="0" applyFont="1" applyFill="1" applyBorder="1" applyAlignment="1" applyProtection="1">
      <alignment horizontal="center" wrapText="1" readingOrder="1"/>
      <protection hidden="1"/>
    </xf>
    <xf numFmtId="0" fontId="27" fillId="20" borderId="3" xfId="0" applyFont="1" applyFill="1" applyBorder="1" applyAlignment="1" applyProtection="1">
      <alignment horizontal="center" wrapText="1" readingOrder="1"/>
      <protection hidden="1"/>
    </xf>
    <xf numFmtId="0" fontId="27" fillId="20" borderId="11" xfId="0" applyFont="1" applyFill="1" applyBorder="1" applyAlignment="1" applyProtection="1">
      <alignment horizontal="center" wrapText="1" readingOrder="1"/>
      <protection hidden="1"/>
    </xf>
    <xf numFmtId="0" fontId="27" fillId="23" borderId="6" xfId="0" applyFont="1" applyFill="1" applyBorder="1" applyAlignment="1" applyProtection="1">
      <alignment horizontal="center" vertical="center" wrapText="1" readingOrder="1"/>
      <protection hidden="1"/>
    </xf>
    <xf numFmtId="0" fontId="27" fillId="23" borderId="7" xfId="0" applyFont="1" applyFill="1" applyBorder="1" applyAlignment="1" applyProtection="1">
      <alignment horizontal="center" vertical="center" wrapText="1" readingOrder="1"/>
      <protection hidden="1"/>
    </xf>
    <xf numFmtId="0" fontId="27" fillId="23" borderId="41" xfId="0" applyFont="1" applyFill="1" applyBorder="1" applyAlignment="1" applyProtection="1">
      <alignment horizontal="center" vertical="center" wrapText="1" readingOrder="1"/>
      <protection hidden="1"/>
    </xf>
    <xf numFmtId="0" fontId="27" fillId="23" borderId="9" xfId="0" applyFont="1" applyFill="1" applyBorder="1" applyAlignment="1" applyProtection="1">
      <alignment horizontal="center" vertical="center" wrapText="1" readingOrder="1"/>
      <protection hidden="1"/>
    </xf>
    <xf numFmtId="0" fontId="27" fillId="23" borderId="0" xfId="0" applyFont="1" applyFill="1" applyAlignment="1" applyProtection="1">
      <alignment horizontal="center" vertical="center" wrapText="1" readingOrder="1"/>
      <protection hidden="1"/>
    </xf>
    <xf numFmtId="0" fontId="27" fillId="23" borderId="10" xfId="0" applyFont="1" applyFill="1" applyBorder="1" applyAlignment="1" applyProtection="1">
      <alignment horizontal="center" vertical="center" wrapText="1" readingOrder="1"/>
      <protection hidden="1"/>
    </xf>
    <xf numFmtId="0" fontId="27" fillId="23" borderId="2" xfId="0" applyFont="1" applyFill="1" applyBorder="1" applyAlignment="1" applyProtection="1">
      <alignment horizontal="center" vertical="center" wrapText="1" readingOrder="1"/>
      <protection hidden="1"/>
    </xf>
    <xf numFmtId="0" fontId="27" fillId="23" borderId="3" xfId="0" applyFont="1" applyFill="1" applyBorder="1" applyAlignment="1" applyProtection="1">
      <alignment horizontal="center" vertical="center" wrapText="1" readingOrder="1"/>
      <protection hidden="1"/>
    </xf>
    <xf numFmtId="0" fontId="27" fillId="23" borderId="11" xfId="0" applyFont="1" applyFill="1" applyBorder="1" applyAlignment="1" applyProtection="1">
      <alignment horizontal="center" vertical="center" wrapText="1" readingOrder="1"/>
      <protection hidden="1"/>
    </xf>
    <xf numFmtId="0" fontId="27" fillId="19" borderId="6" xfId="0" applyFont="1" applyFill="1" applyBorder="1" applyAlignment="1" applyProtection="1">
      <alignment horizontal="center" vertical="center" wrapText="1" readingOrder="1"/>
      <protection hidden="1"/>
    </xf>
    <xf numFmtId="0" fontId="27" fillId="19" borderId="7" xfId="0" applyFont="1" applyFill="1" applyBorder="1" applyAlignment="1" applyProtection="1">
      <alignment horizontal="center" vertical="center" wrapText="1" readingOrder="1"/>
      <protection hidden="1"/>
    </xf>
    <xf numFmtId="0" fontId="27" fillId="19" borderId="41" xfId="0" applyFont="1" applyFill="1" applyBorder="1" applyAlignment="1" applyProtection="1">
      <alignment horizontal="center" vertical="center" wrapText="1" readingOrder="1"/>
      <protection hidden="1"/>
    </xf>
    <xf numFmtId="0" fontId="27" fillId="19" borderId="9" xfId="0" applyFont="1" applyFill="1" applyBorder="1" applyAlignment="1" applyProtection="1">
      <alignment horizontal="center" vertical="center" wrapText="1" readingOrder="1"/>
      <protection hidden="1"/>
    </xf>
    <xf numFmtId="0" fontId="27" fillId="19" borderId="0" xfId="0" applyFont="1" applyFill="1" applyAlignment="1" applyProtection="1">
      <alignment horizontal="center" vertical="center" wrapText="1" readingOrder="1"/>
      <protection hidden="1"/>
    </xf>
    <xf numFmtId="0" fontId="27" fillId="19" borderId="10" xfId="0" applyFont="1" applyFill="1" applyBorder="1" applyAlignment="1" applyProtection="1">
      <alignment horizontal="center" vertical="center" wrapText="1" readingOrder="1"/>
      <protection hidden="1"/>
    </xf>
    <xf numFmtId="0" fontId="27" fillId="19" borderId="2" xfId="0" applyFont="1" applyFill="1" applyBorder="1" applyAlignment="1" applyProtection="1">
      <alignment horizontal="center" vertical="center" wrapText="1" readingOrder="1"/>
      <protection hidden="1"/>
    </xf>
    <xf numFmtId="0" fontId="27" fillId="19" borderId="3" xfId="0" applyFont="1" applyFill="1" applyBorder="1" applyAlignment="1" applyProtection="1">
      <alignment horizontal="center" vertical="center" wrapText="1" readingOrder="1"/>
      <protection hidden="1"/>
    </xf>
    <xf numFmtId="0" fontId="27" fillId="19" borderId="11" xfId="0" applyFont="1" applyFill="1" applyBorder="1" applyAlignment="1" applyProtection="1">
      <alignment horizontal="center" vertical="center" wrapText="1" readingOrder="1"/>
      <protection hidden="1"/>
    </xf>
    <xf numFmtId="0" fontId="28" fillId="20" borderId="42" xfId="0" applyFont="1" applyFill="1" applyBorder="1" applyAlignment="1">
      <alignment horizontal="center" vertical="center" wrapText="1" readingOrder="1"/>
    </xf>
    <xf numFmtId="0" fontId="28" fillId="20" borderId="43" xfId="0" applyFont="1" applyFill="1" applyBorder="1" applyAlignment="1">
      <alignment horizontal="center" vertical="center" wrapText="1" readingOrder="1"/>
    </xf>
    <xf numFmtId="0" fontId="28" fillId="20" borderId="44" xfId="0" applyFont="1" applyFill="1" applyBorder="1" applyAlignment="1">
      <alignment horizontal="center" vertical="center" wrapText="1" readingOrder="1"/>
    </xf>
    <xf numFmtId="0" fontId="28" fillId="20" borderId="45" xfId="0" applyFont="1" applyFill="1" applyBorder="1" applyAlignment="1">
      <alignment horizontal="center" vertical="center" wrapText="1" readingOrder="1"/>
    </xf>
    <xf numFmtId="0" fontId="28" fillId="20" borderId="0" xfId="0" applyFont="1" applyFill="1" applyAlignment="1">
      <alignment horizontal="center" vertical="center" wrapText="1" readingOrder="1"/>
    </xf>
    <xf numFmtId="0" fontId="28" fillId="20" borderId="46" xfId="0" applyFont="1" applyFill="1" applyBorder="1" applyAlignment="1">
      <alignment horizontal="center" vertical="center" wrapText="1" readingOrder="1"/>
    </xf>
    <xf numFmtId="0" fontId="28" fillId="20" borderId="47" xfId="0" applyFont="1" applyFill="1" applyBorder="1" applyAlignment="1">
      <alignment horizontal="center" vertical="center" wrapText="1" readingOrder="1"/>
    </xf>
    <xf numFmtId="0" fontId="28" fillId="20" borderId="48" xfId="0" applyFont="1" applyFill="1" applyBorder="1" applyAlignment="1">
      <alignment horizontal="center" vertical="center" wrapText="1" readingOrder="1"/>
    </xf>
    <xf numFmtId="0" fontId="28" fillId="20" borderId="49" xfId="0" applyFont="1" applyFill="1" applyBorder="1" applyAlignment="1">
      <alignment horizontal="center" vertical="center" wrapText="1" readingOrder="1"/>
    </xf>
    <xf numFmtId="0" fontId="28" fillId="23" borderId="42" xfId="0" applyFont="1" applyFill="1" applyBorder="1" applyAlignment="1">
      <alignment horizontal="center" vertical="center" wrapText="1" readingOrder="1"/>
    </xf>
    <xf numFmtId="0" fontId="28" fillId="23" borderId="43" xfId="0" applyFont="1" applyFill="1" applyBorder="1" applyAlignment="1">
      <alignment horizontal="center" vertical="center" wrapText="1" readingOrder="1"/>
    </xf>
    <xf numFmtId="0" fontId="28" fillId="23" borderId="44" xfId="0" applyFont="1" applyFill="1" applyBorder="1" applyAlignment="1">
      <alignment horizontal="center" vertical="center" wrapText="1" readingOrder="1"/>
    </xf>
    <xf numFmtId="0" fontId="28" fillId="23" borderId="45" xfId="0" applyFont="1" applyFill="1" applyBorder="1" applyAlignment="1">
      <alignment horizontal="center" vertical="center" wrapText="1" readingOrder="1"/>
    </xf>
    <xf numFmtId="0" fontId="28" fillId="23" borderId="0" xfId="0" applyFont="1" applyFill="1" applyAlignment="1">
      <alignment horizontal="center" vertical="center" wrapText="1" readingOrder="1"/>
    </xf>
    <xf numFmtId="0" fontId="28" fillId="23" borderId="46" xfId="0" applyFont="1" applyFill="1" applyBorder="1" applyAlignment="1">
      <alignment horizontal="center" vertical="center" wrapText="1" readingOrder="1"/>
    </xf>
    <xf numFmtId="0" fontId="28" fillId="23" borderId="47" xfId="0" applyFont="1" applyFill="1" applyBorder="1" applyAlignment="1">
      <alignment horizontal="center" vertical="center" wrapText="1" readingOrder="1"/>
    </xf>
    <xf numFmtId="0" fontId="28" fillId="23" borderId="48" xfId="0" applyFont="1" applyFill="1" applyBorder="1" applyAlignment="1">
      <alignment horizontal="center" vertical="center" wrapText="1" readingOrder="1"/>
    </xf>
    <xf numFmtId="0" fontId="28" fillId="23" borderId="49" xfId="0" applyFont="1" applyFill="1" applyBorder="1" applyAlignment="1">
      <alignment horizontal="center" vertical="center" wrapText="1" readingOrder="1"/>
    </xf>
    <xf numFmtId="0" fontId="24" fillId="0" borderId="0" xfId="0" applyFont="1" applyAlignment="1">
      <alignment horizontal="center" vertical="center" wrapText="1"/>
    </xf>
    <xf numFmtId="0" fontId="42" fillId="4" borderId="0" xfId="0" applyFont="1" applyFill="1" applyAlignment="1">
      <alignment horizontal="justify" vertical="center" wrapText="1"/>
    </xf>
    <xf numFmtId="0" fontId="35" fillId="17" borderId="4" xfId="0" applyFont="1" applyFill="1" applyBorder="1" applyAlignment="1">
      <alignment horizontal="center" vertical="center" wrapText="1" readingOrder="1"/>
    </xf>
    <xf numFmtId="0" fontId="35" fillId="17" borderId="5" xfId="0" applyFont="1" applyFill="1" applyBorder="1" applyAlignment="1">
      <alignment horizontal="center" vertical="center" wrapText="1" readingOrder="1"/>
    </xf>
    <xf numFmtId="0" fontId="35" fillId="17" borderId="16" xfId="0" applyFont="1" applyFill="1" applyBorder="1" applyAlignment="1">
      <alignment horizontal="center" vertical="center" wrapText="1" readingOrder="1"/>
    </xf>
    <xf numFmtId="0" fontId="38" fillId="24" borderId="50" xfId="0" applyFont="1" applyFill="1" applyBorder="1" applyAlignment="1">
      <alignment horizontal="center" vertical="center" wrapText="1" readingOrder="1"/>
    </xf>
    <xf numFmtId="0" fontId="38" fillId="24" borderId="51" xfId="0" applyFont="1" applyFill="1" applyBorder="1" applyAlignment="1">
      <alignment horizontal="center" vertical="center" wrapText="1" readingOrder="1"/>
    </xf>
    <xf numFmtId="0" fontId="38" fillId="4" borderId="53" xfId="0" applyFont="1" applyFill="1" applyBorder="1" applyAlignment="1">
      <alignment horizontal="center" vertical="center" wrapText="1" readingOrder="1"/>
    </xf>
    <xf numFmtId="0" fontId="38" fillId="4" borderId="55" xfId="0" applyFont="1" applyFill="1" applyBorder="1" applyAlignment="1">
      <alignment horizontal="center" vertical="center" wrapText="1" readingOrder="1"/>
    </xf>
    <xf numFmtId="0" fontId="38" fillId="4" borderId="33" xfId="0" applyFont="1" applyFill="1" applyBorder="1" applyAlignment="1">
      <alignment horizontal="center" vertical="center" wrapText="1" readingOrder="1"/>
    </xf>
    <xf numFmtId="0" fontId="38" fillId="4" borderId="1" xfId="0" applyFont="1" applyFill="1" applyBorder="1" applyAlignment="1">
      <alignment horizontal="center" vertical="center" wrapText="1" readingOrder="1"/>
    </xf>
    <xf numFmtId="0" fontId="38" fillId="4" borderId="57" xfId="0" applyFont="1" applyFill="1" applyBorder="1" applyAlignment="1">
      <alignment horizontal="center" vertical="center" wrapText="1" readingOrder="1"/>
    </xf>
    <xf numFmtId="0" fontId="38" fillId="4" borderId="58" xfId="0" applyFont="1" applyFill="1" applyBorder="1" applyAlignment="1">
      <alignment horizontal="center" vertical="center" wrapText="1" readingOrder="1"/>
    </xf>
    <xf numFmtId="0" fontId="9" fillId="26" borderId="8" xfId="0" applyFont="1" applyFill="1" applyBorder="1" applyAlignment="1"/>
    <xf numFmtId="0" fontId="9" fillId="24" borderId="8" xfId="0" applyFont="1" applyFill="1" applyBorder="1" applyAlignment="1"/>
    <xf numFmtId="0" fontId="9" fillId="26" borderId="18" xfId="0" applyFont="1" applyFill="1" applyBorder="1" applyAlignment="1"/>
    <xf numFmtId="0" fontId="9" fillId="24" borderId="18" xfId="0" applyFont="1" applyFill="1" applyBorder="1" applyAlignment="1"/>
    <xf numFmtId="0" fontId="9" fillId="14" borderId="13" xfId="0" applyFont="1" applyFill="1" applyBorder="1" applyAlignment="1"/>
    <xf numFmtId="0" fontId="9" fillId="14" borderId="14" xfId="0" applyFont="1" applyFill="1" applyBorder="1" applyAlignment="1"/>
  </cellXfs>
  <cellStyles count="5">
    <cellStyle name="Normal" xfId="0" builtinId="0"/>
    <cellStyle name="Normal - Style1 2" xfId="3" xr:uid="{FEA35137-1BB0-464A-AF64-9C8B21B9EEC4}"/>
    <cellStyle name="Normal 2" xfId="2" xr:uid="{9D5C21E8-052E-4EA9-9EB0-44AD5D33DE85}"/>
    <cellStyle name="Normal 2 2" xfId="4" xr:uid="{C4532906-3986-42AB-BE14-EA2B56A28BE1}"/>
    <cellStyle name="Porcentaje" xfId="1" builtinId="5"/>
  </cellStyles>
  <dxfs count="25">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B6DBF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98425</xdr:colOff>
      <xdr:row>2</xdr:row>
      <xdr:rowOff>28575</xdr:rowOff>
    </xdr:from>
    <xdr:to>
      <xdr:col>1</xdr:col>
      <xdr:colOff>872490</xdr:colOff>
      <xdr:row>2</xdr:row>
      <xdr:rowOff>701040</xdr:rowOff>
    </xdr:to>
    <xdr:pic>
      <xdr:nvPicPr>
        <xdr:cNvPr id="2" name="Imagen 1">
          <a:extLst>
            <a:ext uri="{FF2B5EF4-FFF2-40B4-BE49-F238E27FC236}">
              <a16:creationId xmlns:a16="http://schemas.microsoft.com/office/drawing/2014/main" id="{EFEFB71C-80A8-4497-A77B-98CF33C9F0F9}"/>
            </a:ext>
          </a:extLst>
        </xdr:cNvPr>
        <xdr:cNvPicPr>
          <a:picLocks noChangeAspect="1"/>
        </xdr:cNvPicPr>
      </xdr:nvPicPr>
      <xdr:blipFill>
        <a:blip xmlns:r="http://schemas.openxmlformats.org/officeDocument/2006/relationships" r:embed="rId1"/>
        <a:stretch>
          <a:fillRect/>
        </a:stretch>
      </xdr:blipFill>
      <xdr:spPr>
        <a:xfrm>
          <a:off x="98425" y="396875"/>
          <a:ext cx="1294765" cy="676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tefania_acevedo_viva_gov_co/Documents/Escritorio/2024/VIVA/1-%20GESTION%20ORGANIZACIONAL/2-%20ACTUALIZACIONES%20INFO/4-%20MATRICES/GEO-MT-10%20MATRIZ%20DE%20RIESGOS%20INSTITUCIONALES%20V6.xlsx" TargetMode="External"/><Relationship Id="rId1" Type="http://schemas.openxmlformats.org/officeDocument/2006/relationships/externalLinkPath" Target="/personal/stefania_acevedo_viva_gov_co/Documents/Escritorio/2024/VIVA/1-%20GESTION%20ORGANIZACIONAL/2-%20ACTUALIZACIONES%20INFO/4-%20MATRICES/GEO-MT-10%20MATRIZ%20DE%20RIESGOS%20INSTITUCIONALES%20V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Usuario/AppData/Local/Temp/Rar$DIa764.30893/MR-TIC-01-V4_Mapa_riesgos_TIC_2023.xlsx" TargetMode="External"/><Relationship Id="rId1" Type="http://schemas.openxmlformats.org/officeDocument/2006/relationships/externalLinkPath" Target="/Users/Usuario/AppData/Local/Temp/Rar$DIa764.30893/MR-TIC-01-V4_Mapa_riesgos_TIC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CIONES"/>
      <sheetName val="MATRIZ DE RIESGOS"/>
      <sheetName val="CONTEXTO ESTRATÉGICO"/>
      <sheetName val="CLASIFICACIÓN DEL RIESGO"/>
      <sheetName val="PROBABILIDAD"/>
      <sheetName val="IMPACTO"/>
      <sheetName val="MATRIZ CALOR INHERENTE"/>
      <sheetName val="MATRIZ DE CALOR RESIDUAL"/>
      <sheetName val="VALORACIÓN DE CONTROLES"/>
      <sheetName val="Validacion de datos"/>
    </sheetNames>
    <sheetDataSet>
      <sheetData sheetId="0"/>
      <sheetData sheetId="1"/>
      <sheetData sheetId="2"/>
      <sheetData sheetId="3"/>
      <sheetData sheetId="4"/>
      <sheetData sheetId="5"/>
      <sheetData sheetId="6"/>
      <sheetData sheetId="7"/>
      <sheetData sheetId="8"/>
      <sheetData sheetId="9">
        <row r="14">
          <cell r="H14" t="str">
            <v>Criterios</v>
          </cell>
        </row>
        <row r="15">
          <cell r="H15" t="str">
            <v>Afectación Económica o presupuestal</v>
          </cell>
        </row>
        <row r="16">
          <cell r="H16" t="str">
            <v>Pérdida Reputacional</v>
          </cell>
          <cell r="J16"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row r="12">
          <cell r="A12">
            <v>1</v>
          </cell>
          <cell r="H12" t="str">
            <v>Media</v>
          </cell>
          <cell r="L12" t="str">
            <v>Leve</v>
          </cell>
          <cell r="O12">
            <v>1</v>
          </cell>
          <cell r="Y12" t="str">
            <v>Baja</v>
          </cell>
          <cell r="AA12" t="str">
            <v>Leve</v>
          </cell>
        </row>
        <row r="13">
          <cell r="O13">
            <v>2</v>
          </cell>
          <cell r="Y13" t="str">
            <v/>
          </cell>
          <cell r="AA13" t="str">
            <v/>
          </cell>
        </row>
        <row r="14">
          <cell r="O14">
            <v>3</v>
          </cell>
          <cell r="Y14" t="str">
            <v/>
          </cell>
          <cell r="AA14" t="str">
            <v/>
          </cell>
        </row>
        <row r="15">
          <cell r="O15">
            <v>4</v>
          </cell>
          <cell r="Y15" t="str">
            <v/>
          </cell>
          <cell r="AA15" t="str">
            <v/>
          </cell>
        </row>
        <row r="16">
          <cell r="O16">
            <v>5</v>
          </cell>
          <cell r="Y16" t="str">
            <v/>
          </cell>
          <cell r="AA16" t="str">
            <v/>
          </cell>
        </row>
        <row r="17">
          <cell r="O17">
            <v>6</v>
          </cell>
          <cell r="Y17" t="str">
            <v/>
          </cell>
          <cell r="AA17" t="str">
            <v/>
          </cell>
        </row>
        <row r="18">
          <cell r="A18">
            <v>2</v>
          </cell>
          <cell r="H18" t="str">
            <v>Baja</v>
          </cell>
          <cell r="L18" t="str">
            <v>Menor</v>
          </cell>
          <cell r="O18">
            <v>1</v>
          </cell>
          <cell r="Y18" t="str">
            <v>Baja</v>
          </cell>
          <cell r="AA18" t="str">
            <v>Menor</v>
          </cell>
        </row>
        <row r="19">
          <cell r="O19">
            <v>2</v>
          </cell>
          <cell r="Y19" t="str">
            <v/>
          </cell>
          <cell r="AA19" t="str">
            <v/>
          </cell>
        </row>
        <row r="20">
          <cell r="O20">
            <v>3</v>
          </cell>
          <cell r="Y20" t="str">
            <v/>
          </cell>
          <cell r="AA20" t="str">
            <v/>
          </cell>
        </row>
        <row r="21">
          <cell r="O21">
            <v>4</v>
          </cell>
          <cell r="Y21" t="str">
            <v/>
          </cell>
          <cell r="AA21" t="str">
            <v/>
          </cell>
        </row>
        <row r="22">
          <cell r="O22">
            <v>5</v>
          </cell>
          <cell r="Y22" t="str">
            <v/>
          </cell>
          <cell r="AA22" t="str">
            <v/>
          </cell>
        </row>
        <row r="23">
          <cell r="O23">
            <v>6</v>
          </cell>
          <cell r="Y23" t="str">
            <v/>
          </cell>
          <cell r="AA23" t="str">
            <v/>
          </cell>
        </row>
        <row r="24">
          <cell r="A24">
            <v>3</v>
          </cell>
          <cell r="H24" t="str">
            <v>Muy Baja</v>
          </cell>
          <cell r="L24" t="str">
            <v>Leve</v>
          </cell>
          <cell r="O24">
            <v>1</v>
          </cell>
          <cell r="Y24" t="str">
            <v>Muy Baja</v>
          </cell>
          <cell r="AA24" t="str">
            <v>Leve</v>
          </cell>
        </row>
        <row r="25">
          <cell r="O25">
            <v>2</v>
          </cell>
          <cell r="Y25" t="str">
            <v/>
          </cell>
          <cell r="AA25" t="str">
            <v/>
          </cell>
        </row>
        <row r="26">
          <cell r="O26">
            <v>3</v>
          </cell>
          <cell r="Y26" t="str">
            <v/>
          </cell>
          <cell r="AA26" t="str">
            <v/>
          </cell>
        </row>
        <row r="27">
          <cell r="O27">
            <v>4</v>
          </cell>
          <cell r="Y27" t="str">
            <v/>
          </cell>
          <cell r="AA27" t="str">
            <v/>
          </cell>
        </row>
        <row r="28">
          <cell r="O28">
            <v>5</v>
          </cell>
          <cell r="Y28" t="str">
            <v/>
          </cell>
          <cell r="AA28" t="str">
            <v/>
          </cell>
        </row>
        <row r="29">
          <cell r="O29">
            <v>6</v>
          </cell>
          <cell r="Y29" t="str">
            <v/>
          </cell>
          <cell r="AA29" t="str">
            <v/>
          </cell>
        </row>
        <row r="30">
          <cell r="H30" t="str">
            <v/>
          </cell>
          <cell r="L30" t="str">
            <v/>
          </cell>
        </row>
        <row r="31">
          <cell r="O31">
            <v>2</v>
          </cell>
          <cell r="Y31" t="str">
            <v/>
          </cell>
          <cell r="AA31" t="str">
            <v/>
          </cell>
        </row>
        <row r="32">
          <cell r="O32">
            <v>3</v>
          </cell>
          <cell r="Y32" t="str">
            <v/>
          </cell>
          <cell r="AA32" t="str">
            <v/>
          </cell>
        </row>
        <row r="33">
          <cell r="O33">
            <v>4</v>
          </cell>
          <cell r="Y33" t="str">
            <v/>
          </cell>
          <cell r="AA33" t="str">
            <v/>
          </cell>
        </row>
        <row r="34">
          <cell r="O34">
            <v>5</v>
          </cell>
          <cell r="Y34" t="str">
            <v/>
          </cell>
          <cell r="AA34" t="str">
            <v/>
          </cell>
        </row>
        <row r="35">
          <cell r="O35">
            <v>6</v>
          </cell>
          <cell r="Y35" t="str">
            <v/>
          </cell>
          <cell r="AA35" t="str">
            <v/>
          </cell>
        </row>
        <row r="36">
          <cell r="A36">
            <v>4</v>
          </cell>
          <cell r="H36" t="str">
            <v>Media</v>
          </cell>
          <cell r="L36" t="str">
            <v>Leve</v>
          </cell>
          <cell r="O36">
            <v>1</v>
          </cell>
          <cell r="Y36" t="str">
            <v>Baja</v>
          </cell>
          <cell r="AA36" t="str">
            <v>Leve</v>
          </cell>
        </row>
        <row r="37">
          <cell r="O37">
            <v>2</v>
          </cell>
          <cell r="Y37" t="str">
            <v/>
          </cell>
          <cell r="AA37" t="str">
            <v/>
          </cell>
        </row>
        <row r="38">
          <cell r="O38">
            <v>3</v>
          </cell>
          <cell r="Y38" t="str">
            <v/>
          </cell>
          <cell r="AA38" t="str">
            <v/>
          </cell>
        </row>
        <row r="39">
          <cell r="O39">
            <v>4</v>
          </cell>
          <cell r="Y39" t="str">
            <v/>
          </cell>
          <cell r="AA39" t="str">
            <v/>
          </cell>
        </row>
        <row r="40">
          <cell r="O40">
            <v>5</v>
          </cell>
          <cell r="Y40" t="str">
            <v/>
          </cell>
          <cell r="AA40" t="str">
            <v/>
          </cell>
        </row>
        <row r="41">
          <cell r="O41">
            <v>6</v>
          </cell>
          <cell r="Y41" t="str">
            <v/>
          </cell>
          <cell r="AA41" t="str">
            <v/>
          </cell>
        </row>
        <row r="42">
          <cell r="A42">
            <v>5</v>
          </cell>
          <cell r="H42" t="str">
            <v>Muy Baja</v>
          </cell>
          <cell r="L42" t="str">
            <v>Moderado</v>
          </cell>
          <cell r="O42">
            <v>1</v>
          </cell>
          <cell r="Y42" t="str">
            <v>Muy Baja</v>
          </cell>
          <cell r="AA42" t="str">
            <v>Moderado</v>
          </cell>
        </row>
        <row r="43">
          <cell r="O43">
            <v>2</v>
          </cell>
          <cell r="Y43" t="str">
            <v/>
          </cell>
          <cell r="AA43" t="str">
            <v/>
          </cell>
        </row>
        <row r="44">
          <cell r="O44">
            <v>3</v>
          </cell>
          <cell r="Y44" t="str">
            <v/>
          </cell>
          <cell r="AA44" t="str">
            <v/>
          </cell>
        </row>
        <row r="45">
          <cell r="O45">
            <v>4</v>
          </cell>
          <cell r="Y45" t="str">
            <v/>
          </cell>
          <cell r="AA45" t="str">
            <v/>
          </cell>
        </row>
        <row r="46">
          <cell r="O46">
            <v>5</v>
          </cell>
          <cell r="Y46" t="str">
            <v/>
          </cell>
          <cell r="AA46" t="str">
            <v/>
          </cell>
        </row>
        <row r="47">
          <cell r="O47">
            <v>6</v>
          </cell>
          <cell r="Y47" t="str">
            <v/>
          </cell>
          <cell r="AA47" t="str">
            <v/>
          </cell>
        </row>
        <row r="48">
          <cell r="A48">
            <v>6</v>
          </cell>
          <cell r="H48" t="str">
            <v>Alta</v>
          </cell>
          <cell r="L48" t="str">
            <v>Mayor</v>
          </cell>
          <cell r="O48">
            <v>1</v>
          </cell>
          <cell r="Y48" t="str">
            <v>Media</v>
          </cell>
          <cell r="AA48" t="str">
            <v>Mayor</v>
          </cell>
        </row>
        <row r="49">
          <cell r="O49">
            <v>2</v>
          </cell>
          <cell r="Y49" t="str">
            <v/>
          </cell>
          <cell r="AA49" t="str">
            <v/>
          </cell>
        </row>
        <row r="50">
          <cell r="O50">
            <v>3</v>
          </cell>
          <cell r="Y50" t="str">
            <v/>
          </cell>
          <cell r="AA50" t="str">
            <v/>
          </cell>
        </row>
        <row r="51">
          <cell r="O51">
            <v>4</v>
          </cell>
          <cell r="Y51" t="str">
            <v/>
          </cell>
          <cell r="AA51" t="str">
            <v/>
          </cell>
        </row>
        <row r="52">
          <cell r="O52">
            <v>5</v>
          </cell>
          <cell r="Y52" t="str">
            <v/>
          </cell>
          <cell r="AA52" t="str">
            <v/>
          </cell>
        </row>
        <row r="53">
          <cell r="O53">
            <v>6</v>
          </cell>
          <cell r="Y53" t="str">
            <v/>
          </cell>
          <cell r="AA53" t="str">
            <v/>
          </cell>
        </row>
        <row r="54">
          <cell r="A54">
            <v>7</v>
          </cell>
          <cell r="H54" t="str">
            <v>Media</v>
          </cell>
          <cell r="L54" t="str">
            <v>Mayor</v>
          </cell>
          <cell r="O54">
            <v>1</v>
          </cell>
          <cell r="Y54" t="str">
            <v>Baja</v>
          </cell>
          <cell r="AA54" t="str">
            <v>Mayor</v>
          </cell>
        </row>
        <row r="55">
          <cell r="O55">
            <v>2</v>
          </cell>
          <cell r="Y55" t="str">
            <v/>
          </cell>
          <cell r="AA55" t="str">
            <v/>
          </cell>
        </row>
        <row r="56">
          <cell r="O56">
            <v>3</v>
          </cell>
          <cell r="Y56" t="str">
            <v/>
          </cell>
          <cell r="AA56" t="str">
            <v/>
          </cell>
        </row>
        <row r="57">
          <cell r="O57">
            <v>4</v>
          </cell>
          <cell r="Y57" t="str">
            <v/>
          </cell>
          <cell r="AA57" t="str">
            <v/>
          </cell>
        </row>
        <row r="58">
          <cell r="O58">
            <v>5</v>
          </cell>
          <cell r="Y58" t="str">
            <v/>
          </cell>
          <cell r="AA58" t="str">
            <v/>
          </cell>
        </row>
        <row r="59">
          <cell r="O59">
            <v>6</v>
          </cell>
          <cell r="Y59" t="str">
            <v/>
          </cell>
          <cell r="AA59" t="str">
            <v/>
          </cell>
        </row>
        <row r="60">
          <cell r="A60">
            <v>9</v>
          </cell>
          <cell r="H60" t="str">
            <v/>
          </cell>
          <cell r="L60" t="str">
            <v/>
          </cell>
          <cell r="O60">
            <v>1</v>
          </cell>
          <cell r="Y60" t="str">
            <v/>
          </cell>
          <cell r="AA60" t="str">
            <v/>
          </cell>
        </row>
        <row r="61">
          <cell r="O61">
            <v>2</v>
          </cell>
          <cell r="Y61" t="str">
            <v/>
          </cell>
          <cell r="AA61" t="str">
            <v/>
          </cell>
        </row>
        <row r="62">
          <cell r="O62">
            <v>3</v>
          </cell>
          <cell r="Y62" t="str">
            <v/>
          </cell>
          <cell r="AA62" t="str">
            <v/>
          </cell>
        </row>
        <row r="63">
          <cell r="O63">
            <v>4</v>
          </cell>
          <cell r="Y63" t="str">
            <v/>
          </cell>
          <cell r="AA63" t="str">
            <v/>
          </cell>
        </row>
        <row r="64">
          <cell r="O64">
            <v>5</v>
          </cell>
          <cell r="Y64" t="str">
            <v/>
          </cell>
          <cell r="AA64" t="str">
            <v/>
          </cell>
        </row>
        <row r="65">
          <cell r="O65">
            <v>6</v>
          </cell>
          <cell r="Y65" t="str">
            <v/>
          </cell>
          <cell r="AA65" t="str">
            <v/>
          </cell>
        </row>
        <row r="66">
          <cell r="A66">
            <v>10</v>
          </cell>
          <cell r="H66" t="str">
            <v/>
          </cell>
          <cell r="L66" t="str">
            <v/>
          </cell>
          <cell r="O66">
            <v>1</v>
          </cell>
          <cell r="Y66" t="str">
            <v/>
          </cell>
          <cell r="AA66" t="str">
            <v/>
          </cell>
        </row>
        <row r="67">
          <cell r="O67">
            <v>2</v>
          </cell>
          <cell r="Y67" t="str">
            <v/>
          </cell>
          <cell r="AA67" t="str">
            <v/>
          </cell>
        </row>
        <row r="68">
          <cell r="O68">
            <v>3</v>
          </cell>
          <cell r="Y68" t="str">
            <v/>
          </cell>
          <cell r="AA68" t="str">
            <v/>
          </cell>
        </row>
        <row r="69">
          <cell r="O69">
            <v>4</v>
          </cell>
          <cell r="Y69" t="str">
            <v/>
          </cell>
          <cell r="AA69" t="str">
            <v/>
          </cell>
        </row>
        <row r="70">
          <cell r="O70">
            <v>5</v>
          </cell>
          <cell r="Y70" t="str">
            <v/>
          </cell>
          <cell r="AA70" t="str">
            <v/>
          </cell>
        </row>
        <row r="71">
          <cell r="O71">
            <v>6</v>
          </cell>
          <cell r="Y71" t="str">
            <v/>
          </cell>
          <cell r="AA71" t="str">
            <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A81D3-36CD-4B51-B2DF-1BAB8EF6474E}">
  <dimension ref="E1:N31"/>
  <sheetViews>
    <sheetView showGridLines="0" topLeftCell="Q7" zoomScale="50" zoomScaleNormal="50" workbookViewId="0">
      <selection activeCell="Q7" sqref="Q7"/>
    </sheetView>
  </sheetViews>
  <sheetFormatPr defaultColWidth="11.42578125" defaultRowHeight="14.45"/>
  <cols>
    <col min="13" max="13" width="56.42578125" customWidth="1"/>
    <col min="14" max="14" width="34.28515625" customWidth="1"/>
  </cols>
  <sheetData>
    <row r="1" spans="5:14" ht="58.5" customHeight="1">
      <c r="E1" s="384" t="s">
        <v>0</v>
      </c>
      <c r="F1" s="384"/>
      <c r="G1" s="384"/>
      <c r="H1" s="384"/>
      <c r="I1" s="384"/>
      <c r="J1" s="384"/>
      <c r="K1" s="384"/>
      <c r="L1" s="384"/>
      <c r="M1" s="384"/>
      <c r="N1" s="384"/>
    </row>
    <row r="2" spans="5:14" ht="219" customHeight="1">
      <c r="E2" s="385" t="s">
        <v>1</v>
      </c>
      <c r="F2" s="385"/>
      <c r="G2" s="385"/>
      <c r="H2" s="385"/>
      <c r="I2" s="385"/>
      <c r="J2" s="385"/>
      <c r="K2" s="385"/>
      <c r="L2" s="385"/>
      <c r="M2" s="385"/>
      <c r="N2" s="385"/>
    </row>
    <row r="3" spans="5:14">
      <c r="E3" s="383" t="s">
        <v>2</v>
      </c>
      <c r="F3" s="383"/>
      <c r="G3" s="383"/>
      <c r="H3" s="383"/>
      <c r="I3" s="383" t="s">
        <v>3</v>
      </c>
      <c r="J3" s="383"/>
      <c r="K3" s="383"/>
      <c r="L3" s="383"/>
      <c r="M3" s="383"/>
      <c r="N3" s="383"/>
    </row>
    <row r="4" spans="5:14" ht="22.9" customHeight="1">
      <c r="E4" s="375" t="s">
        <v>4</v>
      </c>
      <c r="F4" s="375"/>
      <c r="G4" s="375"/>
      <c r="H4" s="375"/>
      <c r="I4" s="386" t="s">
        <v>5</v>
      </c>
      <c r="J4" s="386"/>
      <c r="K4" s="386"/>
      <c r="L4" s="386"/>
      <c r="M4" s="386"/>
      <c r="N4" s="386"/>
    </row>
    <row r="5" spans="5:14" ht="37.9" customHeight="1">
      <c r="E5" s="375" t="s">
        <v>6</v>
      </c>
      <c r="F5" s="375"/>
      <c r="G5" s="375"/>
      <c r="H5" s="375"/>
      <c r="I5" s="387" t="s">
        <v>7</v>
      </c>
      <c r="J5" s="387"/>
      <c r="K5" s="387"/>
      <c r="L5" s="387"/>
      <c r="M5" s="387"/>
      <c r="N5" s="387"/>
    </row>
    <row r="6" spans="5:14" ht="271.89999999999998" customHeight="1">
      <c r="E6" s="375" t="s">
        <v>8</v>
      </c>
      <c r="F6" s="375"/>
      <c r="G6" s="375"/>
      <c r="H6" s="375"/>
      <c r="I6" s="387" t="s">
        <v>9</v>
      </c>
      <c r="J6" s="387"/>
      <c r="K6" s="387"/>
      <c r="L6" s="387"/>
      <c r="M6" s="387"/>
      <c r="N6" s="387"/>
    </row>
    <row r="7" spans="5:14" ht="64.5" customHeight="1">
      <c r="E7" s="369" t="s">
        <v>10</v>
      </c>
      <c r="F7" s="370"/>
      <c r="G7" s="370"/>
      <c r="H7" s="371"/>
      <c r="I7" s="365" t="s">
        <v>11</v>
      </c>
      <c r="J7" s="365"/>
      <c r="K7" s="365"/>
      <c r="L7" s="365"/>
      <c r="M7" s="365"/>
      <c r="N7" s="365"/>
    </row>
    <row r="8" spans="5:14" ht="48.4" customHeight="1">
      <c r="E8" s="369" t="s">
        <v>12</v>
      </c>
      <c r="F8" s="370"/>
      <c r="G8" s="370"/>
      <c r="H8" s="371"/>
      <c r="I8" s="365" t="s">
        <v>13</v>
      </c>
      <c r="J8" s="365"/>
      <c r="K8" s="365"/>
      <c r="L8" s="365"/>
      <c r="M8" s="365"/>
      <c r="N8" s="365"/>
    </row>
    <row r="9" spans="5:14" ht="50.65" customHeight="1">
      <c r="E9" s="372" t="s">
        <v>14</v>
      </c>
      <c r="F9" s="373"/>
      <c r="G9" s="373"/>
      <c r="H9" s="374"/>
      <c r="I9" s="365" t="s">
        <v>15</v>
      </c>
      <c r="J9" s="365"/>
      <c r="K9" s="365"/>
      <c r="L9" s="365"/>
      <c r="M9" s="365"/>
      <c r="N9" s="365"/>
    </row>
    <row r="10" spans="5:14" ht="71.650000000000006" customHeight="1">
      <c r="E10" s="369" t="s">
        <v>16</v>
      </c>
      <c r="F10" s="370"/>
      <c r="G10" s="370"/>
      <c r="H10" s="371"/>
      <c r="I10" s="365" t="s">
        <v>17</v>
      </c>
      <c r="J10" s="365"/>
      <c r="K10" s="365"/>
      <c r="L10" s="365"/>
      <c r="M10" s="365"/>
      <c r="N10" s="365"/>
    </row>
    <row r="11" spans="5:14" ht="71.650000000000006" customHeight="1">
      <c r="E11" s="369" t="s">
        <v>18</v>
      </c>
      <c r="F11" s="370"/>
      <c r="G11" s="370"/>
      <c r="H11" s="371"/>
      <c r="I11" s="365" t="s">
        <v>19</v>
      </c>
      <c r="J11" s="365"/>
      <c r="K11" s="365"/>
      <c r="L11" s="365"/>
      <c r="M11" s="365"/>
      <c r="N11" s="365"/>
    </row>
    <row r="12" spans="5:14" ht="71.650000000000006" customHeight="1">
      <c r="E12" s="369" t="s">
        <v>20</v>
      </c>
      <c r="F12" s="370"/>
      <c r="G12" s="370"/>
      <c r="H12" s="371"/>
      <c r="I12" s="365" t="s">
        <v>21</v>
      </c>
      <c r="J12" s="365"/>
      <c r="K12" s="365"/>
      <c r="L12" s="365"/>
      <c r="M12" s="365"/>
      <c r="N12" s="365"/>
    </row>
    <row r="13" spans="5:14" ht="71.650000000000006" customHeight="1">
      <c r="E13" s="369" t="s">
        <v>22</v>
      </c>
      <c r="F13" s="370"/>
      <c r="G13" s="370"/>
      <c r="H13" s="371"/>
      <c r="I13" s="365" t="s">
        <v>23</v>
      </c>
      <c r="J13" s="365"/>
      <c r="K13" s="365"/>
      <c r="L13" s="365"/>
      <c r="M13" s="365"/>
      <c r="N13" s="365"/>
    </row>
    <row r="14" spans="5:14" ht="71.650000000000006" customHeight="1">
      <c r="E14" s="377" t="s">
        <v>24</v>
      </c>
      <c r="F14" s="378"/>
      <c r="G14" s="378"/>
      <c r="H14" s="379"/>
      <c r="I14" s="365" t="s">
        <v>25</v>
      </c>
      <c r="J14" s="365"/>
      <c r="K14" s="365"/>
      <c r="L14" s="365"/>
      <c r="M14" s="365"/>
      <c r="N14" s="365"/>
    </row>
    <row r="15" spans="5:14" ht="71.650000000000006" customHeight="1">
      <c r="E15" s="376" t="s">
        <v>26</v>
      </c>
      <c r="F15" s="376"/>
      <c r="G15" s="376"/>
      <c r="H15" s="376"/>
      <c r="I15" s="365" t="s">
        <v>27</v>
      </c>
      <c r="J15" s="365"/>
      <c r="K15" s="365"/>
      <c r="L15" s="365"/>
      <c r="M15" s="365"/>
      <c r="N15" s="365"/>
    </row>
    <row r="16" spans="5:14" ht="71.650000000000006" customHeight="1">
      <c r="E16" s="376" t="s">
        <v>28</v>
      </c>
      <c r="F16" s="376"/>
      <c r="G16" s="376"/>
      <c r="H16" s="376"/>
      <c r="I16" s="365" t="s">
        <v>29</v>
      </c>
      <c r="J16" s="365"/>
      <c r="K16" s="365"/>
      <c r="L16" s="365"/>
      <c r="M16" s="365"/>
      <c r="N16" s="365"/>
    </row>
    <row r="17" spans="5:14" ht="71.650000000000006" customHeight="1">
      <c r="E17" s="376" t="s">
        <v>30</v>
      </c>
      <c r="F17" s="376"/>
      <c r="G17" s="376"/>
      <c r="H17" s="376"/>
      <c r="I17" s="382" t="s">
        <v>31</v>
      </c>
      <c r="J17" s="382"/>
      <c r="K17" s="382"/>
      <c r="L17" s="382"/>
      <c r="M17" s="382"/>
      <c r="N17" s="382"/>
    </row>
    <row r="18" spans="5:14" ht="71.650000000000006" customHeight="1">
      <c r="E18" s="376" t="s">
        <v>32</v>
      </c>
      <c r="F18" s="376"/>
      <c r="G18" s="376"/>
      <c r="H18" s="376"/>
      <c r="I18" s="365" t="s">
        <v>33</v>
      </c>
      <c r="J18" s="365"/>
      <c r="K18" s="365"/>
      <c r="L18" s="365"/>
      <c r="M18" s="365"/>
      <c r="N18" s="365"/>
    </row>
    <row r="19" spans="5:14" ht="71.650000000000006" customHeight="1">
      <c r="E19" s="376" t="s">
        <v>34</v>
      </c>
      <c r="F19" s="376"/>
      <c r="G19" s="376"/>
      <c r="H19" s="376"/>
      <c r="I19" s="365" t="s">
        <v>35</v>
      </c>
      <c r="J19" s="365"/>
      <c r="K19" s="365"/>
      <c r="L19" s="365"/>
      <c r="M19" s="365"/>
      <c r="N19" s="365"/>
    </row>
    <row r="20" spans="5:14" ht="71.650000000000006" customHeight="1">
      <c r="E20" s="349" t="s">
        <v>36</v>
      </c>
      <c r="F20" s="349"/>
      <c r="G20" s="349"/>
      <c r="H20" s="349"/>
      <c r="I20" s="365" t="s">
        <v>37</v>
      </c>
      <c r="J20" s="365"/>
      <c r="K20" s="365"/>
      <c r="L20" s="365"/>
      <c r="M20" s="365"/>
      <c r="N20" s="365"/>
    </row>
    <row r="21" spans="5:14" ht="71.650000000000006" customHeight="1">
      <c r="E21" s="369" t="s">
        <v>38</v>
      </c>
      <c r="F21" s="370"/>
      <c r="G21" s="370"/>
      <c r="H21" s="371"/>
      <c r="I21" s="366" t="s">
        <v>39</v>
      </c>
      <c r="J21" s="367"/>
      <c r="K21" s="367"/>
      <c r="L21" s="367"/>
      <c r="M21" s="367"/>
      <c r="N21" s="368"/>
    </row>
    <row r="22" spans="5:14" ht="71.650000000000006" customHeight="1">
      <c r="E22" s="375" t="s">
        <v>40</v>
      </c>
      <c r="F22" s="375"/>
      <c r="G22" s="375"/>
      <c r="H22" s="375"/>
      <c r="I22" s="365" t="s">
        <v>41</v>
      </c>
      <c r="J22" s="365"/>
      <c r="K22" s="365"/>
      <c r="L22" s="365"/>
      <c r="M22" s="365"/>
      <c r="N22" s="365"/>
    </row>
    <row r="23" spans="5:14" ht="71.650000000000006" customHeight="1">
      <c r="E23" s="375" t="s">
        <v>42</v>
      </c>
      <c r="F23" s="375"/>
      <c r="G23" s="375"/>
      <c r="H23" s="375"/>
      <c r="I23" s="365" t="s">
        <v>43</v>
      </c>
      <c r="J23" s="365"/>
      <c r="K23" s="365"/>
      <c r="L23" s="365"/>
      <c r="M23" s="365"/>
      <c r="N23" s="365"/>
    </row>
    <row r="24" spans="5:14">
      <c r="E24" s="381"/>
      <c r="F24" s="381"/>
      <c r="G24" s="381"/>
      <c r="H24" s="381"/>
      <c r="I24" s="381"/>
      <c r="J24" s="381"/>
      <c r="K24" s="381"/>
      <c r="L24" s="381"/>
      <c r="M24" s="381"/>
      <c r="N24" s="381"/>
    </row>
    <row r="25" spans="5:14">
      <c r="E25" s="380"/>
      <c r="F25" s="380"/>
      <c r="G25" s="380"/>
      <c r="H25" s="380"/>
      <c r="I25" s="380"/>
      <c r="J25" s="380"/>
      <c r="K25" s="380"/>
      <c r="L25" s="380"/>
      <c r="M25" s="380"/>
    </row>
    <row r="26" spans="5:14">
      <c r="E26" s="380"/>
      <c r="F26" s="380"/>
      <c r="G26" s="380"/>
      <c r="H26" s="380"/>
      <c r="I26" s="380"/>
      <c r="J26" s="380"/>
      <c r="K26" s="380"/>
      <c r="L26" s="380"/>
      <c r="M26" s="380"/>
    </row>
    <row r="27" spans="5:14">
      <c r="E27" s="380"/>
      <c r="F27" s="380"/>
      <c r="G27" s="380"/>
      <c r="H27" s="380"/>
      <c r="I27" s="380"/>
      <c r="J27" s="380"/>
      <c r="K27" s="380"/>
      <c r="L27" s="380"/>
      <c r="M27" s="380"/>
    </row>
    <row r="28" spans="5:14">
      <c r="E28" s="380"/>
      <c r="F28" s="380"/>
      <c r="G28" s="380"/>
      <c r="H28" s="380"/>
      <c r="I28" s="380"/>
      <c r="J28" s="380"/>
      <c r="K28" s="380"/>
      <c r="L28" s="380"/>
      <c r="M28" s="380"/>
    </row>
    <row r="29" spans="5:14">
      <c r="E29" s="380"/>
      <c r="F29" s="380"/>
      <c r="G29" s="380"/>
      <c r="H29" s="380"/>
      <c r="I29" s="380"/>
      <c r="J29" s="380"/>
      <c r="K29" s="380"/>
      <c r="L29" s="380"/>
      <c r="M29" s="380"/>
    </row>
    <row r="30" spans="5:14">
      <c r="E30" s="380"/>
      <c r="F30" s="380"/>
      <c r="G30" s="380"/>
      <c r="H30" s="380"/>
      <c r="I30" s="380"/>
      <c r="J30" s="380"/>
      <c r="K30" s="380"/>
      <c r="L30" s="380"/>
      <c r="M30" s="380"/>
    </row>
    <row r="31" spans="5:14">
      <c r="E31" s="380"/>
      <c r="F31" s="380"/>
      <c r="G31" s="380"/>
      <c r="H31" s="380"/>
      <c r="I31" s="380"/>
      <c r="J31" s="380"/>
      <c r="K31" s="380"/>
      <c r="L31" s="380"/>
      <c r="M31" s="380"/>
    </row>
  </sheetData>
  <mergeCells count="60">
    <mergeCell ref="I8:N8"/>
    <mergeCell ref="E4:H4"/>
    <mergeCell ref="E5:H5"/>
    <mergeCell ref="E3:H3"/>
    <mergeCell ref="E1:N1"/>
    <mergeCell ref="E2:N2"/>
    <mergeCell ref="I3:N3"/>
    <mergeCell ref="I4:N4"/>
    <mergeCell ref="I5:N5"/>
    <mergeCell ref="E6:H6"/>
    <mergeCell ref="E7:H7"/>
    <mergeCell ref="I6:N6"/>
    <mergeCell ref="I7:N7"/>
    <mergeCell ref="I9:N9"/>
    <mergeCell ref="I10:N10"/>
    <mergeCell ref="I11:N11"/>
    <mergeCell ref="I12:N12"/>
    <mergeCell ref="I13:N13"/>
    <mergeCell ref="I14:N14"/>
    <mergeCell ref="I15:N15"/>
    <mergeCell ref="I16:N16"/>
    <mergeCell ref="I17:N17"/>
    <mergeCell ref="I18:N18"/>
    <mergeCell ref="I31:M31"/>
    <mergeCell ref="I30:M30"/>
    <mergeCell ref="I28:M28"/>
    <mergeCell ref="I27:M27"/>
    <mergeCell ref="I26:M26"/>
    <mergeCell ref="I29:M29"/>
    <mergeCell ref="E23:H23"/>
    <mergeCell ref="E24:H24"/>
    <mergeCell ref="E25:H25"/>
    <mergeCell ref="I25:M25"/>
    <mergeCell ref="E30:H30"/>
    <mergeCell ref="I24:N24"/>
    <mergeCell ref="E31:H31"/>
    <mergeCell ref="E26:H26"/>
    <mergeCell ref="E27:H27"/>
    <mergeCell ref="E28:H28"/>
    <mergeCell ref="E29:H29"/>
    <mergeCell ref="E22:H22"/>
    <mergeCell ref="E17:H17"/>
    <mergeCell ref="E18:H18"/>
    <mergeCell ref="E19:H19"/>
    <mergeCell ref="E14:H14"/>
    <mergeCell ref="E15:H15"/>
    <mergeCell ref="E16:H16"/>
    <mergeCell ref="E20:H20"/>
    <mergeCell ref="E21:H21"/>
    <mergeCell ref="E11:H11"/>
    <mergeCell ref="E12:H12"/>
    <mergeCell ref="E13:H13"/>
    <mergeCell ref="E8:H8"/>
    <mergeCell ref="E9:H9"/>
    <mergeCell ref="E10:H10"/>
    <mergeCell ref="I19:N19"/>
    <mergeCell ref="I20:N20"/>
    <mergeCell ref="I21:N21"/>
    <mergeCell ref="I22:N22"/>
    <mergeCell ref="I23:N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CD80C-7F81-4603-9E67-9FBD4EB6AEDF}">
  <dimension ref="A1:V21"/>
  <sheetViews>
    <sheetView topLeftCell="E1" zoomScale="70" zoomScaleNormal="70" workbookViewId="0">
      <selection activeCell="R5" sqref="R5"/>
    </sheetView>
  </sheetViews>
  <sheetFormatPr defaultColWidth="11.42578125" defaultRowHeight="14.45"/>
  <cols>
    <col min="1" max="1" width="60.42578125" bestFit="1" customWidth="1"/>
    <col min="2" max="2" width="77.85546875" customWidth="1"/>
    <col min="3" max="3" width="32.28515625" customWidth="1"/>
    <col min="4" max="4" width="26.28515625" customWidth="1"/>
    <col min="5" max="5" width="48.28515625" bestFit="1" customWidth="1"/>
    <col min="6" max="6" width="20.7109375" customWidth="1"/>
    <col min="7" max="7" width="48.5703125" customWidth="1"/>
    <col min="8" max="8" width="32.28515625" hidden="1" customWidth="1"/>
    <col min="9" max="9" width="71.42578125" hidden="1" customWidth="1"/>
    <col min="10" max="10" width="29" hidden="1" customWidth="1"/>
    <col min="11" max="11" width="23.28515625" hidden="1" customWidth="1"/>
    <col min="12" max="12" width="20.5703125" hidden="1" customWidth="1"/>
    <col min="13" max="13" width="10.85546875" hidden="1" customWidth="1"/>
    <col min="14" max="15" width="21.28515625" bestFit="1" customWidth="1"/>
    <col min="16" max="16" width="24.28515625" bestFit="1" customWidth="1"/>
    <col min="17" max="17" width="15.28515625" bestFit="1" customWidth="1"/>
    <col min="18" max="18" width="12.7109375" bestFit="1" customWidth="1"/>
    <col min="19" max="20" width="12.7109375" customWidth="1"/>
    <col min="21" max="21" width="17" bestFit="1" customWidth="1"/>
  </cols>
  <sheetData>
    <row r="1" spans="1:22" ht="20.65" customHeight="1">
      <c r="A1" s="11" t="s">
        <v>44</v>
      </c>
      <c r="B1" s="11" t="s">
        <v>6</v>
      </c>
      <c r="C1" s="388" t="s">
        <v>45</v>
      </c>
      <c r="D1" s="389"/>
      <c r="E1" s="11" t="s">
        <v>46</v>
      </c>
      <c r="F1" s="11" t="s">
        <v>47</v>
      </c>
      <c r="G1" s="11" t="s">
        <v>48</v>
      </c>
      <c r="H1" s="11" t="s">
        <v>47</v>
      </c>
      <c r="I1" s="11" t="s">
        <v>48</v>
      </c>
      <c r="J1" s="44"/>
      <c r="K1" s="44"/>
      <c r="L1" s="44"/>
      <c r="M1" s="44"/>
      <c r="N1" s="11" t="s">
        <v>49</v>
      </c>
      <c r="O1" s="11" t="s">
        <v>50</v>
      </c>
      <c r="P1" s="11" t="s">
        <v>51</v>
      </c>
      <c r="Q1" s="11" t="s">
        <v>52</v>
      </c>
      <c r="R1" s="11" t="s">
        <v>53</v>
      </c>
      <c r="S1" s="181" t="s">
        <v>54</v>
      </c>
      <c r="T1" s="181" t="s">
        <v>55</v>
      </c>
      <c r="U1" s="11" t="s">
        <v>38</v>
      </c>
      <c r="V1" s="132" t="s">
        <v>42</v>
      </c>
    </row>
    <row r="2" spans="1:22" ht="78" customHeight="1">
      <c r="A2" s="8" t="s">
        <v>56</v>
      </c>
      <c r="B2" s="9" t="s">
        <v>57</v>
      </c>
      <c r="C2" s="8" t="s">
        <v>58</v>
      </c>
      <c r="D2" s="8" t="s">
        <v>59</v>
      </c>
      <c r="E2" s="13" t="s">
        <v>60</v>
      </c>
      <c r="F2" s="13" t="s">
        <v>61</v>
      </c>
      <c r="G2" s="13" t="s">
        <v>62</v>
      </c>
      <c r="H2" s="390" t="s">
        <v>61</v>
      </c>
      <c r="I2" s="46" t="s">
        <v>62</v>
      </c>
      <c r="J2" s="48" t="s">
        <v>61</v>
      </c>
      <c r="K2" t="s">
        <v>61</v>
      </c>
      <c r="L2" t="str">
        <f>IF(NOT(ISERROR(MATCH(K2,H14:H16,0))),J16&amp;"Por favor no seleccionar los criterios de impacto",K2)</f>
        <v>❌Por favor no seleccionar los criterios de impacto</v>
      </c>
      <c r="N2" s="13" t="s">
        <v>63</v>
      </c>
      <c r="O2" s="13" t="s">
        <v>64</v>
      </c>
      <c r="P2" s="13" t="s">
        <v>65</v>
      </c>
      <c r="Q2" s="13" t="s">
        <v>66</v>
      </c>
      <c r="R2" s="13" t="s">
        <v>67</v>
      </c>
      <c r="S2" s="13" t="s">
        <v>68</v>
      </c>
      <c r="T2" s="13">
        <v>0</v>
      </c>
      <c r="U2" s="13" t="s">
        <v>69</v>
      </c>
      <c r="V2" s="13" t="s">
        <v>70</v>
      </c>
    </row>
    <row r="3" spans="1:22" ht="78" customHeight="1">
      <c r="A3" s="8" t="s">
        <v>71</v>
      </c>
      <c r="B3" s="9" t="s">
        <v>72</v>
      </c>
      <c r="C3" s="8" t="s">
        <v>73</v>
      </c>
      <c r="D3" s="8" t="s">
        <v>74</v>
      </c>
      <c r="E3" s="8" t="s">
        <v>75</v>
      </c>
      <c r="F3" s="13" t="s">
        <v>61</v>
      </c>
      <c r="G3" s="13" t="s">
        <v>76</v>
      </c>
      <c r="H3" s="390"/>
      <c r="I3" s="46" t="s">
        <v>76</v>
      </c>
      <c r="J3" s="49" t="s">
        <v>77</v>
      </c>
      <c r="N3" s="13" t="s">
        <v>78</v>
      </c>
      <c r="O3" s="13" t="s">
        <v>79</v>
      </c>
      <c r="P3" s="13" t="s">
        <v>80</v>
      </c>
      <c r="Q3" s="13" t="s">
        <v>81</v>
      </c>
      <c r="R3" s="13" t="s">
        <v>82</v>
      </c>
      <c r="S3" s="13" t="s">
        <v>83</v>
      </c>
      <c r="T3" s="13">
        <v>0.1</v>
      </c>
      <c r="U3" s="13" t="s">
        <v>84</v>
      </c>
      <c r="V3" s="13" t="s">
        <v>85</v>
      </c>
    </row>
    <row r="4" spans="1:22" ht="109.5" customHeight="1">
      <c r="A4" s="8" t="s">
        <v>86</v>
      </c>
      <c r="B4" s="9" t="s">
        <v>87</v>
      </c>
      <c r="C4" s="8" t="s">
        <v>88</v>
      </c>
      <c r="D4" s="8" t="s">
        <v>89</v>
      </c>
      <c r="E4" s="8" t="s">
        <v>90</v>
      </c>
      <c r="F4" s="13" t="s">
        <v>61</v>
      </c>
      <c r="G4" s="13" t="s">
        <v>91</v>
      </c>
      <c r="H4" s="390"/>
      <c r="I4" s="46" t="s">
        <v>91</v>
      </c>
      <c r="J4" s="49" t="s">
        <v>76</v>
      </c>
      <c r="N4" s="13" t="s">
        <v>92</v>
      </c>
      <c r="S4" s="13" t="s">
        <v>93</v>
      </c>
      <c r="T4" s="13">
        <v>0.5</v>
      </c>
      <c r="U4" s="13" t="s">
        <v>94</v>
      </c>
    </row>
    <row r="5" spans="1:22" ht="78" customHeight="1">
      <c r="A5" s="8" t="s">
        <v>95</v>
      </c>
      <c r="B5" s="9" t="s">
        <v>96</v>
      </c>
      <c r="C5" s="8" t="s">
        <v>97</v>
      </c>
      <c r="D5" s="8" t="s">
        <v>98</v>
      </c>
      <c r="E5" s="8" t="s">
        <v>99</v>
      </c>
      <c r="F5" s="13" t="s">
        <v>61</v>
      </c>
      <c r="G5" s="13" t="s">
        <v>100</v>
      </c>
      <c r="H5" s="390"/>
      <c r="I5" s="46" t="s">
        <v>100</v>
      </c>
      <c r="J5" s="49" t="s">
        <v>91</v>
      </c>
      <c r="U5" s="13" t="s">
        <v>101</v>
      </c>
    </row>
    <row r="6" spans="1:22" ht="78" customHeight="1">
      <c r="A6" s="8" t="s">
        <v>102</v>
      </c>
      <c r="B6" s="9" t="s">
        <v>103</v>
      </c>
      <c r="C6" s="8" t="s">
        <v>104</v>
      </c>
      <c r="D6" s="8"/>
      <c r="E6" s="8" t="s">
        <v>105</v>
      </c>
      <c r="F6" s="13" t="s">
        <v>61</v>
      </c>
      <c r="G6" s="13" t="s">
        <v>106</v>
      </c>
      <c r="H6" s="390"/>
      <c r="I6" s="46" t="s">
        <v>106</v>
      </c>
      <c r="J6" s="49" t="s">
        <v>100</v>
      </c>
    </row>
    <row r="7" spans="1:22" ht="78" customHeight="1">
      <c r="A7" s="8" t="s">
        <v>107</v>
      </c>
      <c r="B7" s="9" t="s">
        <v>108</v>
      </c>
      <c r="C7" s="8" t="s">
        <v>109</v>
      </c>
      <c r="D7" s="8"/>
      <c r="E7" s="8" t="s">
        <v>110</v>
      </c>
      <c r="F7" s="13" t="s">
        <v>111</v>
      </c>
      <c r="G7" s="13" t="s">
        <v>112</v>
      </c>
      <c r="H7" s="390" t="s">
        <v>111</v>
      </c>
      <c r="I7" s="46" t="s">
        <v>112</v>
      </c>
      <c r="J7" s="49" t="s">
        <v>106</v>
      </c>
    </row>
    <row r="8" spans="1:22" ht="78" customHeight="1">
      <c r="A8" s="8" t="s">
        <v>113</v>
      </c>
      <c r="B8" s="9" t="s">
        <v>114</v>
      </c>
      <c r="E8" s="8" t="s">
        <v>115</v>
      </c>
      <c r="F8" s="13" t="s">
        <v>111</v>
      </c>
      <c r="G8" s="13" t="s">
        <v>116</v>
      </c>
      <c r="H8" s="390"/>
      <c r="I8" s="46" t="s">
        <v>116</v>
      </c>
      <c r="J8" s="48" t="s">
        <v>111</v>
      </c>
    </row>
    <row r="9" spans="1:22" ht="78" customHeight="1">
      <c r="A9" s="8" t="s">
        <v>117</v>
      </c>
      <c r="B9" s="9" t="s">
        <v>118</v>
      </c>
      <c r="F9" s="13" t="s">
        <v>111</v>
      </c>
      <c r="G9" s="13" t="s">
        <v>119</v>
      </c>
      <c r="H9" s="390"/>
      <c r="I9" s="46" t="s">
        <v>119</v>
      </c>
      <c r="J9" s="50" t="s">
        <v>112</v>
      </c>
    </row>
    <row r="10" spans="1:22" ht="78" customHeight="1">
      <c r="A10" s="8" t="s">
        <v>120</v>
      </c>
      <c r="B10" s="9" t="s">
        <v>121</v>
      </c>
      <c r="F10" s="13" t="s">
        <v>111</v>
      </c>
      <c r="G10" s="13" t="s">
        <v>122</v>
      </c>
      <c r="H10" s="390"/>
      <c r="I10" s="46" t="s">
        <v>122</v>
      </c>
      <c r="J10" s="50" t="s">
        <v>116</v>
      </c>
    </row>
    <row r="11" spans="1:22" ht="78" customHeight="1">
      <c r="A11" s="8" t="s">
        <v>123</v>
      </c>
      <c r="B11" s="9" t="s">
        <v>124</v>
      </c>
      <c r="F11" s="13" t="s">
        <v>111</v>
      </c>
      <c r="G11" s="13" t="s">
        <v>125</v>
      </c>
      <c r="H11" s="390"/>
      <c r="I11" s="46" t="s">
        <v>125</v>
      </c>
      <c r="J11" s="50" t="s">
        <v>119</v>
      </c>
    </row>
    <row r="12" spans="1:22" ht="78" customHeight="1">
      <c r="A12" s="8" t="s">
        <v>126</v>
      </c>
      <c r="B12" s="9" t="s">
        <v>127</v>
      </c>
      <c r="H12" s="45"/>
      <c r="J12" s="50" t="s">
        <v>122</v>
      </c>
    </row>
    <row r="13" spans="1:22" ht="78" customHeight="1">
      <c r="A13" s="8" t="s">
        <v>128</v>
      </c>
      <c r="B13" s="9" t="s">
        <v>129</v>
      </c>
      <c r="H13" s="45"/>
      <c r="J13" s="50" t="s">
        <v>125</v>
      </c>
    </row>
    <row r="14" spans="1:22" ht="43.15" customHeight="1">
      <c r="A14" s="8" t="s">
        <v>130</v>
      </c>
      <c r="B14" s="9" t="s">
        <v>131</v>
      </c>
      <c r="H14" t="s">
        <v>132</v>
      </c>
    </row>
    <row r="15" spans="1:22" ht="43.15" customHeight="1">
      <c r="A15" s="8" t="s">
        <v>133</v>
      </c>
      <c r="B15" s="9" t="s">
        <v>134</v>
      </c>
      <c r="H15" t="s">
        <v>61</v>
      </c>
    </row>
    <row r="16" spans="1:22" ht="78" customHeight="1">
      <c r="A16" s="8" t="s">
        <v>135</v>
      </c>
      <c r="B16" s="9" t="s">
        <v>136</v>
      </c>
      <c r="H16" t="s">
        <v>111</v>
      </c>
      <c r="J16" s="47" t="s">
        <v>137</v>
      </c>
    </row>
    <row r="17" spans="1:10" ht="78" customHeight="1">
      <c r="A17" s="8" t="s">
        <v>138</v>
      </c>
      <c r="B17" s="9" t="s">
        <v>139</v>
      </c>
      <c r="J17" s="47" t="s">
        <v>140</v>
      </c>
    </row>
    <row r="18" spans="1:10" ht="78" customHeight="1">
      <c r="A18" s="8" t="s">
        <v>141</v>
      </c>
      <c r="B18" s="9" t="s">
        <v>142</v>
      </c>
    </row>
    <row r="19" spans="1:10" ht="78" customHeight="1">
      <c r="A19" s="8" t="s">
        <v>143</v>
      </c>
      <c r="B19" s="9" t="s">
        <v>144</v>
      </c>
    </row>
    <row r="20" spans="1:10" ht="78" customHeight="1">
      <c r="A20" s="8" t="s">
        <v>145</v>
      </c>
      <c r="B20" s="10" t="s">
        <v>146</v>
      </c>
    </row>
    <row r="21" spans="1:10" ht="28.15">
      <c r="A21" s="8" t="s">
        <v>147</v>
      </c>
      <c r="B21" s="10" t="s">
        <v>148</v>
      </c>
    </row>
  </sheetData>
  <mergeCells count="3">
    <mergeCell ref="C1:D1"/>
    <mergeCell ref="H2:H6"/>
    <mergeCell ref="H7:H11"/>
  </mergeCells>
  <dataValidations count="1">
    <dataValidation type="list" allowBlank="1" showInputMessage="1" showErrorMessage="1" sqref="K2" xr:uid="{CEFCB7AF-939E-47E4-BC16-760BA4C2022B}">
      <formula1>$J$2:$J$13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D04CD-274C-4C0F-9241-A7415F791995}">
  <dimension ref="A1:BU41"/>
  <sheetViews>
    <sheetView tabSelected="1" view="pageBreakPreview" topLeftCell="AD35" zoomScale="60" zoomScaleNormal="30" workbookViewId="0">
      <selection activeCell="AI40" sqref="AI40"/>
    </sheetView>
  </sheetViews>
  <sheetFormatPr defaultColWidth="10.85546875" defaultRowHeight="14.25" customHeight="1"/>
  <cols>
    <col min="1" max="1" width="7.42578125" style="7" customWidth="1"/>
    <col min="2" max="2" width="27.7109375" style="7" customWidth="1"/>
    <col min="3" max="3" width="62.7109375" style="7" bestFit="1" customWidth="1"/>
    <col min="4" max="4" width="64.85546875" style="7" customWidth="1"/>
    <col min="5" max="5" width="96.7109375" style="7" customWidth="1"/>
    <col min="6" max="6" width="68.7109375" style="7" customWidth="1"/>
    <col min="7" max="7" width="18.85546875" style="7" customWidth="1"/>
    <col min="8" max="8" width="23.28515625" style="7" customWidth="1"/>
    <col min="9" max="9" width="10.42578125" style="7" customWidth="1"/>
    <col min="10" max="10" width="47.28515625" style="7" customWidth="1"/>
    <col min="11" max="11" width="29.7109375" style="7" customWidth="1"/>
    <col min="12" max="12" width="19.7109375" style="7" customWidth="1"/>
    <col min="13" max="13" width="9.85546875" style="7" customWidth="1"/>
    <col min="14" max="14" width="21.28515625" style="7" customWidth="1"/>
    <col min="15" max="15" width="10.85546875" style="7"/>
    <col min="16" max="16" width="59.5703125" style="7" customWidth="1"/>
    <col min="17" max="19" width="25.42578125" style="7" customWidth="1"/>
    <col min="20" max="20" width="16.7109375" style="7" customWidth="1"/>
    <col min="21" max="22" width="10.85546875" style="7"/>
    <col min="23" max="23" width="0" style="7" hidden="1" customWidth="1"/>
    <col min="24" max="24" width="10.85546875" style="7" hidden="1" customWidth="1"/>
    <col min="25" max="28" width="10.85546875" style="7"/>
    <col min="29" max="31" width="10.85546875" style="7" customWidth="1"/>
    <col min="32" max="35" width="10.85546875" style="7"/>
    <col min="36" max="36" width="26.28515625" style="7" customWidth="1"/>
    <col min="37" max="37" width="61.5703125" style="7" customWidth="1"/>
    <col min="38" max="38" width="37.7109375" style="7" customWidth="1"/>
    <col min="39" max="16384" width="10.85546875" style="7"/>
  </cols>
  <sheetData>
    <row r="1" spans="1:38" ht="14.65" customHeight="1">
      <c r="A1" s="303" t="s">
        <v>149</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5"/>
    </row>
    <row r="2" spans="1:38" ht="14.65" customHeight="1">
      <c r="A2" s="306"/>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8"/>
    </row>
    <row r="3" spans="1:38" ht="85.9" customHeight="1">
      <c r="A3" s="306"/>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8"/>
    </row>
    <row r="4" spans="1:38" ht="14.65" customHeight="1">
      <c r="A4" s="295" t="s">
        <v>150</v>
      </c>
      <c r="B4" s="296"/>
      <c r="C4" s="300" t="s">
        <v>151</v>
      </c>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1"/>
    </row>
    <row r="5" spans="1:38" ht="13.9">
      <c r="A5" s="297" t="s">
        <v>152</v>
      </c>
      <c r="B5" s="298"/>
      <c r="C5" s="271" t="s">
        <v>153</v>
      </c>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99"/>
    </row>
    <row r="6" spans="1:38" ht="13.9">
      <c r="A6" s="309" t="s">
        <v>22</v>
      </c>
      <c r="B6" s="310"/>
      <c r="C6" s="271" t="s">
        <v>154</v>
      </c>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99"/>
    </row>
    <row r="7" spans="1:38" ht="37.15" customHeight="1">
      <c r="A7" s="317" t="s">
        <v>155</v>
      </c>
      <c r="B7" s="318"/>
      <c r="C7" s="300" t="s">
        <v>156</v>
      </c>
      <c r="D7" s="300"/>
      <c r="E7" s="302" t="s">
        <v>157</v>
      </c>
      <c r="F7" s="302"/>
      <c r="G7" s="302"/>
      <c r="H7" s="302"/>
      <c r="I7" s="302"/>
      <c r="J7" s="302" t="s">
        <v>158</v>
      </c>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20"/>
    </row>
    <row r="8" spans="1:38" ht="15" customHeight="1">
      <c r="A8" s="317"/>
      <c r="B8" s="318"/>
      <c r="C8" s="61" t="s">
        <v>159</v>
      </c>
      <c r="D8" s="175"/>
      <c r="E8" s="176" t="s">
        <v>160</v>
      </c>
      <c r="F8" s="271">
        <v>9</v>
      </c>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row>
    <row r="9" spans="1:38" ht="16.149999999999999" customHeight="1">
      <c r="A9" s="311" t="s">
        <v>161</v>
      </c>
      <c r="B9" s="314" t="s">
        <v>4</v>
      </c>
      <c r="C9" s="282" t="s">
        <v>6</v>
      </c>
      <c r="D9" s="272" t="s">
        <v>162</v>
      </c>
      <c r="E9" s="272"/>
      <c r="F9" s="272"/>
      <c r="G9" s="273"/>
      <c r="H9" s="330" t="s">
        <v>163</v>
      </c>
      <c r="I9" s="331"/>
      <c r="J9" s="331"/>
      <c r="K9" s="331"/>
      <c r="L9" s="331"/>
      <c r="M9" s="331"/>
      <c r="N9" s="332"/>
      <c r="O9" s="351" t="s">
        <v>164</v>
      </c>
      <c r="P9" s="352"/>
      <c r="Q9" s="352"/>
      <c r="R9" s="352"/>
      <c r="S9" s="352"/>
      <c r="T9" s="352"/>
      <c r="U9" s="352"/>
      <c r="V9" s="352"/>
      <c r="W9" s="352"/>
      <c r="X9" s="352"/>
      <c r="Y9" s="352"/>
      <c r="Z9" s="352"/>
      <c r="AA9" s="352"/>
      <c r="AB9" s="352"/>
      <c r="AC9" s="353"/>
      <c r="AD9" s="340" t="s">
        <v>165</v>
      </c>
      <c r="AE9" s="341"/>
      <c r="AF9" s="341"/>
      <c r="AG9" s="341"/>
      <c r="AH9" s="341"/>
      <c r="AI9" s="341"/>
      <c r="AJ9" s="341"/>
      <c r="AK9" s="341"/>
      <c r="AL9" s="342"/>
    </row>
    <row r="10" spans="1:38" ht="14.65" customHeight="1" thickBot="1">
      <c r="A10" s="312"/>
      <c r="B10" s="549"/>
      <c r="C10" s="315"/>
      <c r="D10" s="274"/>
      <c r="E10" s="274"/>
      <c r="F10" s="274"/>
      <c r="G10" s="275"/>
      <c r="H10" s="330"/>
      <c r="I10" s="331"/>
      <c r="J10" s="331"/>
      <c r="K10" s="331"/>
      <c r="L10" s="331"/>
      <c r="M10" s="331"/>
      <c r="N10" s="332"/>
      <c r="O10" s="343"/>
      <c r="P10" s="344"/>
      <c r="Q10" s="344"/>
      <c r="R10" s="344"/>
      <c r="S10" s="344"/>
      <c r="T10" s="344"/>
      <c r="U10" s="344"/>
      <c r="V10" s="344"/>
      <c r="W10" s="344"/>
      <c r="X10" s="344"/>
      <c r="Y10" s="344"/>
      <c r="Z10" s="344"/>
      <c r="AA10" s="344"/>
      <c r="AB10" s="344"/>
      <c r="AC10" s="345"/>
      <c r="AD10" s="343"/>
      <c r="AE10" s="344"/>
      <c r="AF10" s="344"/>
      <c r="AG10" s="344"/>
      <c r="AH10" s="344"/>
      <c r="AI10" s="344"/>
      <c r="AJ10" s="344"/>
      <c r="AK10" s="344"/>
      <c r="AL10" s="345"/>
    </row>
    <row r="11" spans="1:38" ht="16.149999999999999" customHeight="1" thickBot="1">
      <c r="A11" s="312"/>
      <c r="B11" s="549"/>
      <c r="C11" s="315"/>
      <c r="D11" s="276" t="s">
        <v>166</v>
      </c>
      <c r="E11" s="276" t="s">
        <v>167</v>
      </c>
      <c r="F11" s="276" t="s">
        <v>168</v>
      </c>
      <c r="G11" s="276" t="s">
        <v>169</v>
      </c>
      <c r="H11" s="319" t="s">
        <v>170</v>
      </c>
      <c r="I11" s="319" t="s">
        <v>171</v>
      </c>
      <c r="J11" s="319" t="s">
        <v>172</v>
      </c>
      <c r="K11" s="319" t="s">
        <v>173</v>
      </c>
      <c r="L11" s="319" t="s">
        <v>174</v>
      </c>
      <c r="M11" s="319" t="s">
        <v>171</v>
      </c>
      <c r="N11" s="333" t="s">
        <v>18</v>
      </c>
      <c r="O11" s="284" t="s">
        <v>175</v>
      </c>
      <c r="P11" s="276" t="s">
        <v>176</v>
      </c>
      <c r="Q11" s="276" t="s">
        <v>22</v>
      </c>
      <c r="R11" s="276" t="s">
        <v>177</v>
      </c>
      <c r="S11" s="276" t="s">
        <v>178</v>
      </c>
      <c r="T11" s="276" t="s">
        <v>24</v>
      </c>
      <c r="U11" s="287" t="s">
        <v>179</v>
      </c>
      <c r="V11" s="288"/>
      <c r="W11" s="288"/>
      <c r="X11" s="288"/>
      <c r="Y11" s="288"/>
      <c r="Z11" s="288"/>
      <c r="AA11" s="288"/>
      <c r="AB11" s="288"/>
      <c r="AC11" s="289"/>
      <c r="AD11" s="277" t="s">
        <v>180</v>
      </c>
      <c r="AE11" s="321" t="s">
        <v>181</v>
      </c>
      <c r="AF11" s="327" t="s">
        <v>171</v>
      </c>
      <c r="AG11" s="277" t="s">
        <v>182</v>
      </c>
      <c r="AH11" s="277" t="s">
        <v>171</v>
      </c>
      <c r="AI11" s="321" t="s">
        <v>183</v>
      </c>
      <c r="AJ11" s="324" t="s">
        <v>38</v>
      </c>
      <c r="AK11" s="321" t="s">
        <v>40</v>
      </c>
      <c r="AL11" s="324" t="s">
        <v>42</v>
      </c>
    </row>
    <row r="12" spans="1:38" ht="13.5" customHeight="1">
      <c r="A12" s="312"/>
      <c r="B12" s="549"/>
      <c r="C12" s="315"/>
      <c r="D12" s="549"/>
      <c r="E12" s="549"/>
      <c r="F12" s="549"/>
      <c r="G12" s="549"/>
      <c r="H12" s="550"/>
      <c r="I12" s="550"/>
      <c r="J12" s="550"/>
      <c r="K12" s="550"/>
      <c r="L12" s="550"/>
      <c r="M12" s="550"/>
      <c r="N12" s="334"/>
      <c r="O12" s="285"/>
      <c r="P12" s="549"/>
      <c r="Q12" s="549"/>
      <c r="R12" s="282"/>
      <c r="S12" s="282"/>
      <c r="T12" s="549"/>
      <c r="U12" s="280" t="s">
        <v>184</v>
      </c>
      <c r="V12" s="255" t="s">
        <v>50</v>
      </c>
      <c r="W12" s="293" t="s">
        <v>55</v>
      </c>
      <c r="X12" s="280" t="s">
        <v>55</v>
      </c>
      <c r="Y12" s="280" t="s">
        <v>51</v>
      </c>
      <c r="Z12" s="255" t="s">
        <v>52</v>
      </c>
      <c r="AA12" s="293" t="s">
        <v>53</v>
      </c>
      <c r="AB12" s="291" t="s">
        <v>54</v>
      </c>
      <c r="AC12" s="290" t="s">
        <v>55</v>
      </c>
      <c r="AD12" s="278"/>
      <c r="AE12" s="322"/>
      <c r="AF12" s="328"/>
      <c r="AG12" s="278"/>
      <c r="AH12" s="278"/>
      <c r="AI12" s="322"/>
      <c r="AJ12" s="325"/>
      <c r="AK12" s="322"/>
      <c r="AL12" s="325"/>
    </row>
    <row r="13" spans="1:38" ht="111.6" customHeight="1">
      <c r="A13" s="313"/>
      <c r="B13" s="551"/>
      <c r="C13" s="316"/>
      <c r="D13" s="551"/>
      <c r="E13" s="551"/>
      <c r="F13" s="551"/>
      <c r="G13" s="551"/>
      <c r="H13" s="552"/>
      <c r="I13" s="552"/>
      <c r="J13" s="552"/>
      <c r="K13" s="552"/>
      <c r="L13" s="552"/>
      <c r="M13" s="552"/>
      <c r="N13" s="335"/>
      <c r="O13" s="286"/>
      <c r="P13" s="551"/>
      <c r="Q13" s="551"/>
      <c r="R13" s="283"/>
      <c r="S13" s="283"/>
      <c r="T13" s="551"/>
      <c r="U13" s="281"/>
      <c r="V13" s="256"/>
      <c r="W13" s="294"/>
      <c r="X13" s="281"/>
      <c r="Y13" s="281"/>
      <c r="Z13" s="256"/>
      <c r="AA13" s="294"/>
      <c r="AB13" s="292"/>
      <c r="AC13" s="281"/>
      <c r="AD13" s="279"/>
      <c r="AE13" s="323"/>
      <c r="AF13" s="329"/>
      <c r="AG13" s="279"/>
      <c r="AH13" s="279"/>
      <c r="AI13" s="323"/>
      <c r="AJ13" s="326"/>
      <c r="AK13" s="323"/>
      <c r="AL13" s="326"/>
    </row>
    <row r="14" spans="1:38" ht="87" customHeight="1">
      <c r="A14" s="346">
        <v>1</v>
      </c>
      <c r="B14" s="260" t="s">
        <v>138</v>
      </c>
      <c r="C14" s="264" t="str">
        <f>+IFERROR(VLOOKUP(B14,'Validacion de datos'!A:B,2,0),"")</f>
        <v>Tramitar la fase de instrucción de los procesos disciplinarios por la presunta comisión de conductas que puedan constituirse como falta disciplinaria y que le sea atribuible a los funcionarios y exfuncionarios de la Empresa de Vivienda de Antioquia – VIVA en el ejercicio de sus funciones, ejecutando los procesos administrativos pertinentes con el fin de determinar su responsabilidad conforme a la Constitución y la Ley.</v>
      </c>
      <c r="D14" s="347" t="s">
        <v>185</v>
      </c>
      <c r="E14" s="153" t="s">
        <v>186</v>
      </c>
      <c r="F14" s="153" t="s">
        <v>187</v>
      </c>
      <c r="G14" s="43">
        <v>5</v>
      </c>
      <c r="H14" s="141" t="str">
        <f>IF(G14&lt;=0,"",IF(G14&lt;=2,"Muy Baja",IF(G14&lt;=24,"Baja",IF(G14&lt;=500,"Media",IF(G14&lt;=5000,"Alta","Muy Alta")))))</f>
        <v>Baja</v>
      </c>
      <c r="I14" s="142">
        <f t="shared" ref="I14" si="0">IF(H14="","",IF(H14="Muy Baja",0.2,IF(H14="Baja",0.4,IF(H14="Media",0.6,IF(H14="Alta",0.8,IF(H14="Muy Alta",1,))))))</f>
        <v>0.4</v>
      </c>
      <c r="J14" s="38" t="s">
        <v>100</v>
      </c>
      <c r="K14" s="143" t="str">
        <f>IF(NOT(ISERROR(MATCH(J14,'[1]Validacion de datos'!$H$14:$H$16,0))),'[1]Validacion de datos'!$J$16&amp;"Por favor no seleccionar los criterios de impacto(Afectación Económica o presupuestal y Pérdida Reputacional)",J14)</f>
        <v xml:space="preserve">Entre 100 y 500 SMLMV </v>
      </c>
      <c r="L14" s="141" t="str">
        <f>IF(OR(K14=IMPACTO!$C$3,K14=IMPACTO!$D$3),"Leve",IF(OR(K14=IMPACTO!$C$4,K14=IMPACTO!$D$4),"Menor",IF(OR(K14=IMPACTO!$C$5,K14=IMPACTO!$D$5),"Moderado",IF(OR(K14=IMPACTO!$C$6,K14=IMPACTO!$D$6),"Mayor",IF(OR(K14=IMPACTO!$C$7,K14=IMPACTO!$D$7),"Catastrófico","")))))</f>
        <v>Mayor</v>
      </c>
      <c r="M14" s="142">
        <f>IF(L14="","",IF(L14="Leve",0.2,IF(L14="Menor",0.4,IF(L14="Moderado",0.6,IF(L14="Mayor",0.8,IF(L14="Catastrófico",1,))))))</f>
        <v>0.8</v>
      </c>
      <c r="N14" s="144"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Alto</v>
      </c>
      <c r="O14" s="57">
        <v>1</v>
      </c>
      <c r="P14" s="182" t="s">
        <v>188</v>
      </c>
      <c r="Q14" s="43" t="s">
        <v>189</v>
      </c>
      <c r="R14" s="43" t="s">
        <v>190</v>
      </c>
      <c r="S14" s="177">
        <v>45554</v>
      </c>
      <c r="T14" s="53" t="str">
        <f t="shared" ref="T14:T41" si="1">IF(OR(U14="Preventivo",U14="Detectivo"),"Probabilidad",IF(U14="Correctivo","Impacto",""))</f>
        <v>Probabilidad</v>
      </c>
      <c r="U14" s="147" t="s">
        <v>78</v>
      </c>
      <c r="V14" s="147" t="s">
        <v>64</v>
      </c>
      <c r="W14" s="137" t="str">
        <f t="shared" ref="W14" si="2">IF(AND(U14="Preventivo",V14="Automática"),"50%",IF(AND(U14="Preventivo",V14="Manual"),"40%",IF(AND(U14="Detectivo",V14="Automática"),"40%",IF(AND(U14="Detectivo",V14="Manual"),"30%",IF(AND(U14="Correctivo",V14="Automática"),"35%",IF(AND(U14="Correctivo",V14="Manual"),"25%",""))))))</f>
        <v>40%</v>
      </c>
      <c r="X14" s="137">
        <f>+W14-AC14</f>
        <v>0.4</v>
      </c>
      <c r="Y14" s="147" t="s">
        <v>65</v>
      </c>
      <c r="Z14" s="147" t="s">
        <v>66</v>
      </c>
      <c r="AA14" s="147" t="s">
        <v>67</v>
      </c>
      <c r="AB14" s="147" t="s">
        <v>68</v>
      </c>
      <c r="AC14" s="147">
        <f>+IFERROR(VLOOKUP(AB14,'Validacion de datos'!$S$2:$T$4,2,0),"")</f>
        <v>0</v>
      </c>
      <c r="AD14" s="134">
        <f t="shared" ref="AD14:AD24" si="3">IFERROR(IF(T14="Probabilidad",(I14-(+I14*W14)),IF(T14="Impacto",I14,"")),"")</f>
        <v>0.24</v>
      </c>
      <c r="AE14" s="356" t="str">
        <f t="shared" ref="AE14:AE41" si="4">IFERROR(IF(AD14="","",IF(AD14&lt;=0.2,"Muy Baja",IF(AD14&lt;=0.4,"Baja",IF(AD14&lt;=0.6,"Media",IF(AD14&lt;=0.8,"Alta","Muy Alta"))))),"")</f>
        <v>Baja</v>
      </c>
      <c r="AF14" s="137">
        <f t="shared" ref="AF14" si="5">+AD14</f>
        <v>0.24</v>
      </c>
      <c r="AG14" s="356" t="str">
        <f t="shared" ref="AG14" si="6">IFERROR(IF(AH14="","",IF(AH14&lt;=0.2,"Leve",IF(AH14&lt;=0.4,"Menor",IF(AH14&lt;=0.6,"Moderado",IF(AH14&lt;=0.8,"Mayor","Catastrófico"))))),"")</f>
        <v>Mayor</v>
      </c>
      <c r="AH14" s="137">
        <f t="shared" ref="AH14:AH41" si="7">IFERROR(IF(T14="Impacto",(M14-(+M14*W14)),IF(T14="Probabilidad",M14,"")),"")</f>
        <v>0.8</v>
      </c>
      <c r="AI14" s="364" t="str">
        <f>IFERROR(IF(OR(AND(AE14="Muy Baja",AG14="Leve"),AND(AE14="Muy Baja",AG14="Menor"),AND(AE14="Baja",AG14="Leve")),"Bajo",IF(OR(AND(AE14="Muy baja",AG14="Moderado"),AND(AE14="Baja",AG14="Menor"),AND(AE14="Baja",AG14="Moderado"),AND(AE14="Media",AG14="Leve"),AND(AE14="Media",AG14="Menor"),AND(AE14="Media",AG14="Moderado"),AND(AE14="Alta",AG14="Leve"),AND(AE14="Alta",AG14="Menor")),"Moderado",IF(OR(AND(AE14="Muy Baja",AG14="Mayor"),AND(AE14="Baja",AG14="Mayor"),AND(AE14="Media",AG14="Mayor"),AND(AE14="Alta",AG14="Moderado"),AND(AE14="Alta",AG14="Mayor"),AND(AE14="Muy Alta",AG14="Leve"),AND(AE14="Muy Alta",AG14="Menor"),AND(AE14="Muy Alta",AG14="Moderado"),AND(AE14="Muy Alta",AG14="Mayor")),"Alto",IF(OR(AND(AE14="Muy Baja",AG14="Catastrófico"),AND(AE14="Baja",AG14="Catastrófico"),AND(AE14="Media",AG14="Catastrófico"),AND(AE14="Alta",AG14="Catastrófico"),AND(AE14="Muy Alta",AG14="Catastrófico")),"Extremo","")))),"")</f>
        <v>Alto</v>
      </c>
      <c r="AJ14" s="361" t="s">
        <v>101</v>
      </c>
      <c r="AK14" s="139"/>
      <c r="AL14" s="361" t="s">
        <v>70</v>
      </c>
    </row>
    <row r="15" spans="1:38" ht="111" customHeight="1">
      <c r="A15" s="260"/>
      <c r="B15" s="349"/>
      <c r="C15" s="300"/>
      <c r="D15" s="348"/>
      <c r="E15" s="159" t="s">
        <v>191</v>
      </c>
      <c r="F15" s="38" t="s">
        <v>192</v>
      </c>
      <c r="G15" s="43">
        <v>5</v>
      </c>
      <c r="H15" s="141" t="str">
        <f>IF(G15&lt;=0,"",IF(G15&lt;=2,"Muy Baja",IF(G15&lt;=24,"Baja",IF(G15&lt;=500,"Media",IF(G15&lt;=5000,"Alta","Muy Alta")))))</f>
        <v>Baja</v>
      </c>
      <c r="I15" s="142">
        <f t="shared" ref="I15:I41" si="8">IF(H15="","",IF(H15="Muy Baja",0.2,IF(H15="Baja",0.4,IF(H15="Media",0.6,IF(H15="Alta",0.8,IF(H15="Muy Alta",1,))))))</f>
        <v>0.4</v>
      </c>
      <c r="J15" s="38" t="s">
        <v>100</v>
      </c>
      <c r="K15" s="41" t="str">
        <f>IF(NOT(ISERROR(MATCH(J15,'[1]Validacion de datos'!$H$14:$H$16,0))),'[1]Validacion de datos'!$J$16&amp;"Por favor no seleccionar los criterios de impacto(Afectación Económica o presupuestal y Pérdida Reputacional)",J15)</f>
        <v xml:space="preserve">Entre 100 y 500 SMLMV </v>
      </c>
      <c r="L15" s="141" t="str">
        <f>IF(OR(K15=IMPACTO!$C$3,K15=IMPACTO!$D$3),"Leve",IF(OR(K15=IMPACTO!$C$4,K15=IMPACTO!$D$4),"Menor",IF(OR(K15=IMPACTO!$C$5,K15=IMPACTO!$D$5),"Moderado",IF(OR(K15=IMPACTO!$C$6,K15=IMPACTO!$D$6),"Mayor",IF(OR(K15=IMPACTO!$C$7,K15=IMPACTO!$D$7),"Catastrófico","")))))</f>
        <v>Mayor</v>
      </c>
      <c r="M15" s="142">
        <f>IF(L15="","",IF(L15="Leve",0.2,IF(L15="Menor",0.4,IF(L15="Moderado",0.6,IF(L15="Mayor",0.8,IF(L15="Catastrófico",1,))))))</f>
        <v>0.8</v>
      </c>
      <c r="N15" s="144"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Alto</v>
      </c>
      <c r="O15" s="57">
        <v>2</v>
      </c>
      <c r="P15" s="153" t="s">
        <v>193</v>
      </c>
      <c r="Q15" s="43" t="s">
        <v>189</v>
      </c>
      <c r="R15" s="43" t="s">
        <v>190</v>
      </c>
      <c r="S15" s="177">
        <v>45554</v>
      </c>
      <c r="T15" s="53" t="str">
        <f t="shared" si="1"/>
        <v>Probabilidad</v>
      </c>
      <c r="U15" s="147" t="s">
        <v>78</v>
      </c>
      <c r="V15" s="147" t="s">
        <v>64</v>
      </c>
      <c r="W15" s="137" t="str">
        <f t="shared" ref="W15:W17" si="9">IF(AND(U15="Preventivo",V15="Automática"),"50%",IF(AND(U15="Preventivo",V15="Manual"),"40%",IF(AND(U15="Detectivo",V15="Automática"),"40%",IF(AND(U15="Detectivo",V15="Manual"),"30%",IF(AND(U15="Correctivo",V15="Automática"),"35%",IF(AND(U15="Correctivo",V15="Manual"),"25%",""))))))</f>
        <v>40%</v>
      </c>
      <c r="X15" s="137">
        <f t="shared" ref="X15:X41" si="10">+AC15-W15</f>
        <v>-0.30000000000000004</v>
      </c>
      <c r="Y15" s="147" t="s">
        <v>80</v>
      </c>
      <c r="Z15" s="147" t="s">
        <v>81</v>
      </c>
      <c r="AA15" s="147" t="s">
        <v>67</v>
      </c>
      <c r="AB15" s="147" t="s">
        <v>83</v>
      </c>
      <c r="AC15" s="147">
        <f>+IFERROR(VLOOKUP(AB15,'Validacion de datos'!$S$2:$T$4,2,0),"")</f>
        <v>0.1</v>
      </c>
      <c r="AD15" s="134">
        <f t="shared" si="3"/>
        <v>0.24</v>
      </c>
      <c r="AE15" s="357"/>
      <c r="AF15" s="54">
        <f t="shared" ref="AF15:AF17" si="11">+AD15</f>
        <v>0.24</v>
      </c>
      <c r="AG15" s="357"/>
      <c r="AH15" s="137">
        <f t="shared" si="7"/>
        <v>0.8</v>
      </c>
      <c r="AI15" s="360"/>
      <c r="AJ15" s="362"/>
      <c r="AK15" s="3" t="s">
        <v>194</v>
      </c>
      <c r="AL15" s="362"/>
    </row>
    <row r="16" spans="1:38" ht="67.150000000000006" customHeight="1">
      <c r="A16" s="259">
        <v>2</v>
      </c>
      <c r="B16" s="349"/>
      <c r="C16" s="300"/>
      <c r="D16" s="350" t="s">
        <v>195</v>
      </c>
      <c r="E16" s="159" t="s">
        <v>196</v>
      </c>
      <c r="F16" s="38" t="s">
        <v>197</v>
      </c>
      <c r="G16" s="43">
        <v>5</v>
      </c>
      <c r="H16" s="40" t="str">
        <f>IF(G16&lt;=0,"",IF(G16&lt;=2,"Muy Baja",IF(G16&lt;=24,"Baja",IF(G16&lt;=500,"Media",IF(G16&lt;=5000,"Alta","Muy Alta")))))</f>
        <v>Baja</v>
      </c>
      <c r="I16" s="42">
        <f t="shared" ref="I16" si="12">IF(H16="","",IF(H16="Muy Baja",0.2,IF(H16="Baja",0.4,IF(H16="Media",0.6,IF(H16="Alta",0.8,IF(H16="Muy Alta",1,))))))</f>
        <v>0.4</v>
      </c>
      <c r="J16" s="2" t="s">
        <v>100</v>
      </c>
      <c r="K16" s="41" t="str">
        <f>IF(NOT(ISERROR(MATCH(J16,'[1]Validacion de datos'!$H$14:$H$16,0))),'[1]Validacion de datos'!$J$16&amp;"Por favor no seleccionar los criterios de impacto(Afectación Económica o presupuestal y Pérdida Reputacional)",J16)</f>
        <v xml:space="preserve">Entre 100 y 500 SMLMV </v>
      </c>
      <c r="L16" s="40" t="str">
        <f>IF(OR(K16=IMPACTO!$C$3,K16=IMPACTO!$D$3),"Leve",IF(OR(K16=IMPACTO!$C$4,K16=IMPACTO!$D$4),"Menor",IF(OR(K16=IMPACTO!$C$5,K16=IMPACTO!$D$5),"Moderado",IF(OR(K16=IMPACTO!$C$6,K16=IMPACTO!$D$6),"Mayor",IF(OR(K16=IMPACTO!$C$7,K16=IMPACTO!$D$7),"Catastrófico","")))))</f>
        <v>Mayor</v>
      </c>
      <c r="M16" s="42">
        <f>IF(L16="","",IF(L16="Leve",0.2,IF(L16="Menor",0.4,IF(L16="Moderado",0.6,IF(L16="Mayor",0.8,IF(L16="Catastrófico",1,))))))</f>
        <v>0.8</v>
      </c>
      <c r="N16" s="60"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27">
        <v>1</v>
      </c>
      <c r="P16" s="153" t="s">
        <v>198</v>
      </c>
      <c r="Q16" s="43" t="s">
        <v>189</v>
      </c>
      <c r="R16" s="43" t="s">
        <v>190</v>
      </c>
      <c r="S16" s="177">
        <v>45554</v>
      </c>
      <c r="T16" s="53" t="str">
        <f t="shared" ref="T16" si="13">IF(OR(U16="Preventivo",U16="Detectivo"),"Probabilidad",IF(U16="Correctivo","Impacto",""))</f>
        <v>Probabilidad</v>
      </c>
      <c r="U16" s="51" t="s">
        <v>63</v>
      </c>
      <c r="V16" s="51" t="s">
        <v>64</v>
      </c>
      <c r="W16" s="54" t="str">
        <f t="shared" ref="W16" si="14">IF(AND(U16="Preventivo",V16="Automática"),"50%",IF(AND(U16="Preventivo",V16="Manual"),"40%",IF(AND(U16="Detectivo",V16="Automática"),"40%",IF(AND(U16="Detectivo",V16="Manual"),"30%",IF(AND(U16="Correctivo",V16="Automática"),"35%",IF(AND(U16="Correctivo",V16="Manual"),"25%",""))))))</f>
        <v>30%</v>
      </c>
      <c r="X16" s="137">
        <f t="shared" si="10"/>
        <v>-0.3</v>
      </c>
      <c r="Y16" s="51" t="s">
        <v>65</v>
      </c>
      <c r="Z16" s="51" t="s">
        <v>66</v>
      </c>
      <c r="AA16" s="51" t="s">
        <v>67</v>
      </c>
      <c r="AB16" s="51" t="s">
        <v>68</v>
      </c>
      <c r="AC16" s="147">
        <f>+IFERROR(VLOOKUP(AB16,'Validacion de datos'!$S$2:$T$4,2,0),"")</f>
        <v>0</v>
      </c>
      <c r="AD16" s="52">
        <f t="shared" si="3"/>
        <v>0.28000000000000003</v>
      </c>
      <c r="AE16" s="358" t="str">
        <f t="shared" ref="AE16" si="15">IFERROR(IF(AD16="","",IF(AD16&lt;=0.2,"Muy Baja",IF(AD16&lt;=0.4,"Baja",IF(AD16&lt;=0.6,"Media",IF(AD16&lt;=0.8,"Alta","Muy Alta"))))),"")</f>
        <v>Baja</v>
      </c>
      <c r="AF16" s="58">
        <f t="shared" ref="AF16" si="16">+AD16</f>
        <v>0.28000000000000003</v>
      </c>
      <c r="AG16" s="358" t="str">
        <f t="shared" ref="AG16" si="17">IFERROR(IF(AH16="","",IF(AH16&lt;=0.2,"Leve",IF(AH16&lt;=0.4,"Menor",IF(AH16&lt;=0.6,"Moderado",IF(AH16&lt;=0.8,"Mayor","Catastrófico"))))),"")</f>
        <v>Mayor</v>
      </c>
      <c r="AH16" s="54">
        <f t="shared" si="7"/>
        <v>0.8</v>
      </c>
      <c r="AI16" s="359" t="str">
        <f t="shared" ref="AI16" si="18">IFERROR(IF(OR(AND(AE16="Muy Baja",AG16="Leve"),AND(AE16="Muy Baja",AG16="Menor"),AND(AE16="Baja",AG16="Leve")),"Bajo",IF(OR(AND(AE16="Muy baja",AG16="Moderado"),AND(AE16="Baja",AG16="Menor"),AND(AE16="Baja",AG16="Moderado"),AND(AE16="Media",AG16="Leve"),AND(AE16="Media",AG16="Menor"),AND(AE16="Media",AG16="Moderado"),AND(AE16="Alta",AG16="Leve"),AND(AE16="Alta",AG16="Menor")),"Moderado",IF(OR(AND(AE16="Muy Baja",AG16="Mayor"),AND(AE16="Baja",AG16="Mayor"),AND(AE16="Media",AG16="Mayor"),AND(AE16="Alta",AG16="Moderado"),AND(AE16="Alta",AG16="Mayor"),AND(AE16="Muy Alta",AG16="Leve"),AND(AE16="Muy Alta",AG16="Menor"),AND(AE16="Muy Alta",AG16="Moderado"),AND(AE16="Muy Alta",AG16="Mayor")),"Alto",IF(OR(AND(AE16="Muy Baja",AG16="Catastrófico"),AND(AE16="Baja",AG16="Catastrófico"),AND(AE16="Media",AG16="Catastrófico"),AND(AE16="Alta",AG16="Catastrófico"),AND(AE16="Muy Alta",AG16="Catastrófico")),"Extremo","")))),"")</f>
        <v>Alto</v>
      </c>
      <c r="AJ16" s="363" t="s">
        <v>101</v>
      </c>
      <c r="AK16" s="133"/>
      <c r="AL16" s="363" t="s">
        <v>70</v>
      </c>
    </row>
    <row r="17" spans="1:73" ht="71.45" customHeight="1">
      <c r="A17" s="260"/>
      <c r="B17" s="349"/>
      <c r="C17" s="300"/>
      <c r="D17" s="347"/>
      <c r="E17" s="150" t="s">
        <v>199</v>
      </c>
      <c r="F17" s="3" t="s">
        <v>200</v>
      </c>
      <c r="G17" s="4">
        <v>5</v>
      </c>
      <c r="H17" s="40" t="str">
        <f>IF(G17&lt;=0,"",IF(G17&lt;=2,"Muy Baja",IF(G17&lt;=24,"Baja",IF(G17&lt;=500,"Media",IF(G17&lt;=5000,"Alta","Muy Alta")))))</f>
        <v>Baja</v>
      </c>
      <c r="I17" s="42">
        <f t="shared" si="8"/>
        <v>0.4</v>
      </c>
      <c r="J17" s="2" t="s">
        <v>100</v>
      </c>
      <c r="K17" s="41" t="str">
        <f>IF(NOT(ISERROR(MATCH(J17,'[1]Validacion de datos'!$H$14:$H$16,0))),'[1]Validacion de datos'!$J$16&amp;"Por favor no seleccionar los criterios de impacto(Afectación Económica o presupuestal y Pérdida Reputacional)",J17)</f>
        <v xml:space="preserve">Entre 100 y 500 SMLMV </v>
      </c>
      <c r="L17" s="40" t="str">
        <f>IF(OR(K17=IMPACTO!$C$3,K17=IMPACTO!$D$3),"Leve",IF(OR(K17=IMPACTO!$C$4,K17=IMPACTO!$D$4),"Menor",IF(OR(K17=IMPACTO!$C$5,K17=IMPACTO!$D$5),"Moderado",IF(OR(K17=IMPACTO!$C$6,K17=IMPACTO!$D$6),"Mayor",IF(OR(K17=IMPACTO!$C$7,K17=IMPACTO!$D$7),"Catastrófico","")))))</f>
        <v>Mayor</v>
      </c>
      <c r="M17" s="42">
        <f>IF(L17="","",IF(L17="Leve",0.2,IF(L17="Menor",0.4,IF(L17="Moderado",0.6,IF(L17="Mayor",0.8,IF(L17="Catastrófico",1,))))))</f>
        <v>0.8</v>
      </c>
      <c r="N17" s="60"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27">
        <v>2</v>
      </c>
      <c r="P17" s="153" t="s">
        <v>193</v>
      </c>
      <c r="Q17" s="43" t="s">
        <v>189</v>
      </c>
      <c r="R17" s="43" t="s">
        <v>190</v>
      </c>
      <c r="S17" s="177">
        <v>45554</v>
      </c>
      <c r="T17" s="53" t="str">
        <f t="shared" si="1"/>
        <v>Probabilidad</v>
      </c>
      <c r="U17" s="51" t="s">
        <v>78</v>
      </c>
      <c r="V17" s="51" t="s">
        <v>64</v>
      </c>
      <c r="W17" s="54" t="str">
        <f t="shared" si="9"/>
        <v>40%</v>
      </c>
      <c r="X17" s="137">
        <f t="shared" si="10"/>
        <v>9.9999999999999978E-2</v>
      </c>
      <c r="Y17" s="51" t="s">
        <v>80</v>
      </c>
      <c r="Z17" s="51" t="s">
        <v>81</v>
      </c>
      <c r="AA17" s="51" t="s">
        <v>67</v>
      </c>
      <c r="AB17" s="51" t="s">
        <v>93</v>
      </c>
      <c r="AC17" s="147">
        <f>+IFERROR(VLOOKUP(AB17,'Validacion de datos'!$S$2:$T$4,2,0),"")</f>
        <v>0.5</v>
      </c>
      <c r="AD17" s="52">
        <f t="shared" si="3"/>
        <v>0.24</v>
      </c>
      <c r="AE17" s="357"/>
      <c r="AF17" s="58">
        <f t="shared" si="11"/>
        <v>0.24</v>
      </c>
      <c r="AG17" s="357"/>
      <c r="AH17" s="54">
        <f t="shared" si="7"/>
        <v>0.8</v>
      </c>
      <c r="AI17" s="360"/>
      <c r="AJ17" s="362"/>
      <c r="AK17" s="3" t="s">
        <v>194</v>
      </c>
      <c r="AL17" s="362"/>
    </row>
    <row r="18" spans="1:73" ht="123.75" customHeight="1">
      <c r="A18" s="1">
        <v>3</v>
      </c>
      <c r="B18" s="131" t="s">
        <v>86</v>
      </c>
      <c r="C18" s="170" t="str">
        <f>+IFERROR(VLOOKUP(B18,'Validacion de datos'!A:B,2,0),"")</f>
        <v>Planear, organizar, ejecutar y controlar las acciones que promuevan la gestión del talento humano en términos de la arquitectura organizacional, selección de personal, su capacitación, evaluación, reconocimiento de obligaciones salariales y prestacionales. Igualmente, promover y  mantener las condiciones de cultura organizacional, bienestar y calidad de vida,  logrando el cumplimiento de las estrategias y metas definidas por la empresa, asegurando un buen clima laboral  y  condiciones seguras de trabajo.  </v>
      </c>
      <c r="D18" s="12" t="s">
        <v>201</v>
      </c>
      <c r="E18" s="28" t="s">
        <v>202</v>
      </c>
      <c r="F18" s="3" t="s">
        <v>203</v>
      </c>
      <c r="G18" s="4">
        <v>500</v>
      </c>
      <c r="H18" s="40" t="str">
        <f t="shared" ref="H18:I41" si="19">IF(G18&lt;=0,"",IF(G18&lt;=2,"Muy Baja",IF(G18&lt;=24,"Baja",IF(G18&lt;=500,"Media",IF(G18&lt;=5000,"Alta","Muy Alta")))))</f>
        <v>Media</v>
      </c>
      <c r="I18" s="42">
        <f t="shared" si="8"/>
        <v>0.6</v>
      </c>
      <c r="J18" s="43" t="s">
        <v>122</v>
      </c>
      <c r="K18" s="41" t="str">
        <f>IF(NOT(ISERROR(MATCH(J18,'[1]Validacion de datos'!$H$14:$H$16,0))),'[1]Validacion de datos'!$J$16&amp;"Por favor no seleccionar los criterios de impacto(Afectación Económica o presupuestal y Pérdida Reputacional)",J18)</f>
        <v>El riesgo afecta la imagen de de la entidad con efecto publicitario sostenido a nivel de sector administrativo, nivel departamental o municipal</v>
      </c>
      <c r="L18" s="40" t="str">
        <f>IF(OR(K18=IMPACTO!$C$3,K18=IMPACTO!$D$3),"Leve",IF(OR(K18=IMPACTO!$C$4,K18=IMPACTO!$D$4),"Menor",IF(OR(K18=IMPACTO!$C$5,K18=IMPACTO!$D$5),"Moderado",IF(OR(K18=IMPACTO!$C$6,K18=IMPACTO!$D$6),"Mayor",IF(OR(K18=IMPACTO!$C$7,K18=IMPACTO!$D$7),"Catastrófico","")))))</f>
        <v>Mayor</v>
      </c>
      <c r="M18" s="42">
        <f t="shared" ref="M18:M41" si="20">IF(L18="","",IF(L18="Leve",0.2,IF(L18="Menor",0.4,IF(L18="Moderado",0.6,IF(L18="Mayor",0.8,IF(L18="Catastrófico",1,))))))</f>
        <v>0.8</v>
      </c>
      <c r="N18" s="60" t="str">
        <f t="shared" ref="N18:N20" si="21">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27">
        <v>1</v>
      </c>
      <c r="P18" s="28" t="s">
        <v>204</v>
      </c>
      <c r="Q18" s="4" t="s">
        <v>205</v>
      </c>
      <c r="R18" s="4" t="s">
        <v>190</v>
      </c>
      <c r="S18" s="178">
        <v>45554</v>
      </c>
      <c r="T18" s="53" t="str">
        <f t="shared" si="1"/>
        <v>Probabilidad</v>
      </c>
      <c r="U18" s="51" t="s">
        <v>63</v>
      </c>
      <c r="V18" s="51" t="s">
        <v>64</v>
      </c>
      <c r="W18" s="54" t="str">
        <f t="shared" ref="W18:W41" si="22">IF(AND(U18="Preventivo",V18="Automática"),"50%",IF(AND(U18="Preventivo",V18="Manual"),"40%",IF(AND(U18="Detectivo",V18="Automática"),"40%",IF(AND(U18="Detectivo",V18="Manual"),"30%",IF(AND(U18="Correctivo",V18="Automática"),"35%",IF(AND(U18="Correctivo",V18="Manual"),"25%",""))))))</f>
        <v>30%</v>
      </c>
      <c r="X18" s="137">
        <f t="shared" si="10"/>
        <v>-0.3</v>
      </c>
      <c r="Y18" s="51" t="s">
        <v>65</v>
      </c>
      <c r="Z18" s="51" t="s">
        <v>81</v>
      </c>
      <c r="AA18" s="51" t="s">
        <v>67</v>
      </c>
      <c r="AB18" s="51" t="s">
        <v>68</v>
      </c>
      <c r="AC18" s="147">
        <f>+IFERROR(VLOOKUP(AB18,'Validacion de datos'!$S$2:$T$4,2,0),"")</f>
        <v>0</v>
      </c>
      <c r="AD18" s="52">
        <f t="shared" si="3"/>
        <v>0.42</v>
      </c>
      <c r="AE18" s="55" t="str">
        <f t="shared" si="4"/>
        <v>Media</v>
      </c>
      <c r="AF18" s="58">
        <f t="shared" ref="AF18:AF41" si="23">+AD18</f>
        <v>0.42</v>
      </c>
      <c r="AG18" s="55" t="str">
        <f t="shared" ref="AG15:AG41" si="24">IFERROR(IF(AH18="","",IF(AH18&lt;=0.2,"Leve",IF(AH18&lt;=0.4,"Menor",IF(AH18&lt;=0.6,"Moderado",IF(AH18&lt;=0.8,"Mayor","Catastrófico"))))),"")</f>
        <v>Mayor</v>
      </c>
      <c r="AH18" s="54">
        <f t="shared" si="7"/>
        <v>0.8</v>
      </c>
      <c r="AI18" s="56" t="str">
        <f t="shared" ref="AI18:AI41" si="25">IFERROR(IF(OR(AND(AE18="Muy Baja",AG18="Leve"),AND(AE18="Muy Baja",AG18="Menor"),AND(AE18="Baja",AG18="Leve")),"Bajo",IF(OR(AND(AE18="Muy baja",AG18="Moderado"),AND(AE18="Baja",AG18="Menor"),AND(AE18="Baja",AG18="Moderado"),AND(AE18="Media",AG18="Leve"),AND(AE18="Media",AG18="Menor"),AND(AE18="Media",AG18="Moderado"),AND(AE18="Alta",AG18="Leve"),AND(AE18="Alta",AG18="Menor")),"Moderado",IF(OR(AND(AE18="Muy Baja",AG18="Mayor"),AND(AE18="Baja",AG18="Mayor"),AND(AE18="Media",AG18="Mayor"),AND(AE18="Alta",AG18="Moderado"),AND(AE18="Alta",AG18="Mayor"),AND(AE18="Muy Alta",AG18="Leve"),AND(AE18="Muy Alta",AG18="Menor"),AND(AE18="Muy Alta",AG18="Moderado"),AND(AE18="Muy Alta",AG18="Mayor")),"Alto",IF(OR(AND(AE18="Muy Baja",AG18="Catastrófico"),AND(AE18="Baja",AG18="Catastrófico"),AND(AE18="Media",AG18="Catastrófico"),AND(AE18="Alta",AG18="Catastrófico"),AND(AE18="Muy Alta",AG18="Catastrófico")),"Extremo","")))),"")</f>
        <v>Alto</v>
      </c>
      <c r="AJ18" s="51" t="s">
        <v>101</v>
      </c>
      <c r="AK18" s="3" t="s">
        <v>206</v>
      </c>
      <c r="AL18" s="51" t="s">
        <v>70</v>
      </c>
    </row>
    <row r="19" spans="1:73" ht="134.44999999999999" customHeight="1">
      <c r="A19" s="1">
        <v>4</v>
      </c>
      <c r="B19" s="131" t="s">
        <v>71</v>
      </c>
      <c r="C19" s="170" t="str">
        <f>+IFERROR(VLOOKUP(B19,'Validacion de datos'!A:B,2,0),"")</f>
        <v>Direccionar, orientar y articular los procesos organizacionales a traves de estrategias, metodologías e instrumentos que promueven y aseguran el mejoramiento continuo de la gestión y el cumplimiento de las metas institucionales.</v>
      </c>
      <c r="D19" s="12" t="s">
        <v>207</v>
      </c>
      <c r="E19" s="28" t="s">
        <v>208</v>
      </c>
      <c r="F19" s="2" t="s">
        <v>209</v>
      </c>
      <c r="G19" s="4">
        <v>365</v>
      </c>
      <c r="H19" s="40" t="str">
        <f t="shared" si="19"/>
        <v>Media</v>
      </c>
      <c r="I19" s="42">
        <f t="shared" si="8"/>
        <v>0.6</v>
      </c>
      <c r="J19" s="43" t="s">
        <v>122</v>
      </c>
      <c r="K19" s="41" t="str">
        <f>IF(NOT(ISERROR(MATCH(J19,'[1]Validacion de datos'!$H$14:$H$16,0))),'[1]Validacion de datos'!$J$16&amp;"Por favor no seleccionar los criterios de impacto(Afectación Económica o presupuestal y Pérdida Reputacional)",J19)</f>
        <v>El riesgo afecta la imagen de de la entidad con efecto publicitario sostenido a nivel de sector administrativo, nivel departamental o municipal</v>
      </c>
      <c r="L19" s="40" t="str">
        <f>IF(OR(K19=IMPACTO!$C$3,K19=IMPACTO!$D$3),"Leve",IF(OR(K19=IMPACTO!$C$4,K19=IMPACTO!$D$4),"Menor",IF(OR(K19=IMPACTO!$C$5,K19=IMPACTO!$D$5),"Moderado",IF(OR(K19=IMPACTO!$C$6,K19=IMPACTO!$D$6),"Mayor",IF(OR(K19=IMPACTO!$C$7,K19=IMPACTO!$D$7),"Catastrófico","")))))</f>
        <v>Mayor</v>
      </c>
      <c r="M19" s="42">
        <f t="shared" si="20"/>
        <v>0.8</v>
      </c>
      <c r="N19" s="60" t="str">
        <f t="shared" si="21"/>
        <v>Alto</v>
      </c>
      <c r="O19" s="27">
        <v>1</v>
      </c>
      <c r="P19" s="28" t="s">
        <v>210</v>
      </c>
      <c r="Q19" s="4" t="s">
        <v>211</v>
      </c>
      <c r="R19" s="4" t="s">
        <v>190</v>
      </c>
      <c r="S19" s="178">
        <v>45554</v>
      </c>
      <c r="T19" s="53" t="str">
        <f t="shared" si="1"/>
        <v>Probabilidad</v>
      </c>
      <c r="U19" s="51" t="s">
        <v>78</v>
      </c>
      <c r="V19" s="51" t="s">
        <v>64</v>
      </c>
      <c r="W19" s="54" t="str">
        <f t="shared" si="22"/>
        <v>40%</v>
      </c>
      <c r="X19" s="137">
        <f t="shared" si="10"/>
        <v>9.9999999999999978E-2</v>
      </c>
      <c r="Y19" s="51" t="s">
        <v>80</v>
      </c>
      <c r="Z19" s="51" t="s">
        <v>81</v>
      </c>
      <c r="AA19" s="51" t="s">
        <v>82</v>
      </c>
      <c r="AB19" s="51" t="s">
        <v>93</v>
      </c>
      <c r="AC19" s="147">
        <f>+IFERROR(VLOOKUP(AB19,'Validacion de datos'!$S$2:$T$4,2,0),"")</f>
        <v>0.5</v>
      </c>
      <c r="AD19" s="52">
        <f t="shared" si="3"/>
        <v>0.36</v>
      </c>
      <c r="AE19" s="55" t="str">
        <f t="shared" si="4"/>
        <v>Baja</v>
      </c>
      <c r="AF19" s="58">
        <f t="shared" si="23"/>
        <v>0.36</v>
      </c>
      <c r="AG19" s="55" t="str">
        <f t="shared" si="24"/>
        <v>Mayor</v>
      </c>
      <c r="AH19" s="54">
        <f t="shared" si="7"/>
        <v>0.8</v>
      </c>
      <c r="AI19" s="56" t="str">
        <f t="shared" si="25"/>
        <v>Alto</v>
      </c>
      <c r="AJ19" s="51" t="s">
        <v>101</v>
      </c>
      <c r="AK19" s="3" t="s">
        <v>212</v>
      </c>
      <c r="AL19" s="51" t="s">
        <v>70</v>
      </c>
    </row>
    <row r="20" spans="1:73" ht="137.25" customHeight="1">
      <c r="A20" s="1">
        <v>5</v>
      </c>
      <c r="B20" s="131" t="s">
        <v>126</v>
      </c>
      <c r="C20" s="170" t="str">
        <f>+IFERROR(VLOOKUP(B20,'Validacion de datos'!A:B,2,0),"")</f>
        <v>Garantizar que las actuaciones jurídicas y contractuales se realicen de acuerdo a la normatividad vigente y aplicable a cada caso, evitando de esta manera el daño antijurídico y la materialización de riesgos, mediante actuaciones preventivas, el estudio riguroso de cada necesidad de VIVA.</v>
      </c>
      <c r="D20" s="12" t="s">
        <v>213</v>
      </c>
      <c r="E20" s="62" t="s">
        <v>214</v>
      </c>
      <c r="F20" s="6" t="s">
        <v>215</v>
      </c>
      <c r="G20" s="4">
        <v>35</v>
      </c>
      <c r="H20" s="40" t="str">
        <f t="shared" si="19"/>
        <v>Media</v>
      </c>
      <c r="I20" s="42">
        <f t="shared" si="8"/>
        <v>0.6</v>
      </c>
      <c r="J20" s="43" t="s">
        <v>91</v>
      </c>
      <c r="K20" s="41" t="str">
        <f>IF(NOT(ISERROR(MATCH(J20,'[1]Validacion de datos'!$H$14:$H$16,0))),'[1]Validacion de datos'!$J$16&amp;"Por favor no seleccionar los criterios de impacto(Afectación Económica o presupuestal y Pérdida Reputacional)",J20)</f>
        <v xml:space="preserve">Entre 50 y 100 SMLMV </v>
      </c>
      <c r="L20" s="40" t="str">
        <f>IF(OR(K20=IMPACTO!$C$3,K20=IMPACTO!$D$3),"Leve",IF(OR(K20=IMPACTO!$C$4,K20=IMPACTO!$D$4),"Menor",IF(OR(K20=IMPACTO!$C$5,K20=IMPACTO!$D$5),"Moderado",IF(OR(K20=IMPACTO!$C$6,K20=IMPACTO!$D$6),"Mayor",IF(OR(K20=IMPACTO!$C$7,K20=IMPACTO!$D$7),"Catastrófico","")))))</f>
        <v>Moderado</v>
      </c>
      <c r="M20" s="42">
        <f t="shared" si="20"/>
        <v>0.6</v>
      </c>
      <c r="N20" s="40" t="str">
        <f t="shared" si="21"/>
        <v>Moderado</v>
      </c>
      <c r="O20" s="1">
        <v>1</v>
      </c>
      <c r="P20" s="28" t="s">
        <v>216</v>
      </c>
      <c r="Q20" s="4" t="s">
        <v>217</v>
      </c>
      <c r="R20" s="4" t="s">
        <v>190</v>
      </c>
      <c r="S20" s="178">
        <v>45554</v>
      </c>
      <c r="T20" s="53" t="str">
        <f t="shared" si="1"/>
        <v>Probabilidad</v>
      </c>
      <c r="U20" s="148" t="s">
        <v>78</v>
      </c>
      <c r="V20" s="148" t="s">
        <v>64</v>
      </c>
      <c r="W20" s="42" t="str">
        <f t="shared" si="22"/>
        <v>40%</v>
      </c>
      <c r="X20" s="137">
        <f t="shared" si="10"/>
        <v>-0.4</v>
      </c>
      <c r="Y20" s="148" t="s">
        <v>65</v>
      </c>
      <c r="Z20" s="148" t="s">
        <v>66</v>
      </c>
      <c r="AA20" s="148" t="s">
        <v>67</v>
      </c>
      <c r="AB20" s="148" t="s">
        <v>68</v>
      </c>
      <c r="AC20" s="147">
        <f>+IFERROR(VLOOKUP(AB20,'Validacion de datos'!$S$2:$T$4,2,0),"")</f>
        <v>0</v>
      </c>
      <c r="AD20" s="149">
        <f t="shared" si="3"/>
        <v>0.36</v>
      </c>
      <c r="AE20" s="55" t="str">
        <f t="shared" si="4"/>
        <v>Baja</v>
      </c>
      <c r="AF20" s="65">
        <f t="shared" si="23"/>
        <v>0.36</v>
      </c>
      <c r="AG20" s="55" t="str">
        <f t="shared" si="24"/>
        <v>Moderado</v>
      </c>
      <c r="AH20" s="42">
        <f t="shared" si="7"/>
        <v>0.6</v>
      </c>
      <c r="AI20" s="55" t="str">
        <f t="shared" si="25"/>
        <v>Moderado</v>
      </c>
      <c r="AJ20" s="148" t="s">
        <v>101</v>
      </c>
      <c r="AK20" s="3" t="s">
        <v>218</v>
      </c>
      <c r="AL20" s="148" t="s">
        <v>70</v>
      </c>
    </row>
    <row r="21" spans="1:73" ht="84.6" customHeight="1">
      <c r="A21" s="1">
        <v>6</v>
      </c>
      <c r="B21" s="259" t="s">
        <v>133</v>
      </c>
      <c r="C21" s="257" t="str">
        <f>+IFERROR(VLOOKUP(B21,'Validacion de datos'!A:B,2,0),"")</f>
        <v>Gestionar la adquisición y la administración de los Bienes y Servicios necesarios en la ejecución de las actividades de la Empresa de Vivienda de Antioquia-VIVA, para contribuir con el logro de los objetivos organizacionales, cumpliendo con los principios de la administración pública.</v>
      </c>
      <c r="D21" s="152" t="s">
        <v>219</v>
      </c>
      <c r="E21" s="62" t="s">
        <v>220</v>
      </c>
      <c r="F21" s="152" t="s">
        <v>221</v>
      </c>
      <c r="G21" s="4">
        <v>242</v>
      </c>
      <c r="H21" s="40" t="str">
        <f t="shared" si="19"/>
        <v>Media</v>
      </c>
      <c r="I21" s="42">
        <f t="shared" si="8"/>
        <v>0.6</v>
      </c>
      <c r="J21" s="43" t="s">
        <v>122</v>
      </c>
      <c r="K21" s="41" t="str">
        <f>IF(NOT(ISERROR(MATCH(J21,'[1]Validacion de datos'!$H$14:$H$16,0))),'[1]Validacion de datos'!$J$16&amp;"Por favor no seleccionar los criterios de impacto(Afectación Económica o presupuestal y Pérdida Reputacional)",J21)</f>
        <v>El riesgo afecta la imagen de de la entidad con efecto publicitario sostenido a nivel de sector administrativo, nivel departamental o municipal</v>
      </c>
      <c r="L21" s="40" t="str">
        <f>IF(OR(K21=IMPACTO!$C$3,K21=IMPACTO!$D$3),"Leve",IF(OR(K21=IMPACTO!$C$4,K21=IMPACTO!$D$4),"Menor",IF(OR(K21=IMPACTO!$C$5,K21=IMPACTO!$D$5),"Moderado",IF(OR(K21=IMPACTO!$C$6,K21=IMPACTO!$D$6),"Mayor",IF(OR(K21=IMPACTO!$C$7,K21=IMPACTO!$D$7),"Catastrófico","")))))</f>
        <v>Mayor</v>
      </c>
      <c r="M21" s="42">
        <f t="shared" si="20"/>
        <v>0.8</v>
      </c>
      <c r="N21" s="60" t="str">
        <f t="shared" ref="N21:N41" si="26">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27">
        <v>1</v>
      </c>
      <c r="P21" s="4" t="s">
        <v>222</v>
      </c>
      <c r="Q21" s="261" t="s">
        <v>223</v>
      </c>
      <c r="R21" s="59" t="s">
        <v>190</v>
      </c>
      <c r="S21" s="179">
        <v>45554</v>
      </c>
      <c r="T21" s="53" t="str">
        <f t="shared" si="1"/>
        <v>Probabilidad</v>
      </c>
      <c r="U21" s="51" t="s">
        <v>78</v>
      </c>
      <c r="V21" s="51" t="s">
        <v>64</v>
      </c>
      <c r="W21" s="54" t="str">
        <f t="shared" si="22"/>
        <v>40%</v>
      </c>
      <c r="X21" s="137">
        <f t="shared" si="10"/>
        <v>-0.4</v>
      </c>
      <c r="Y21" s="51" t="s">
        <v>65</v>
      </c>
      <c r="Z21" s="51" t="s">
        <v>66</v>
      </c>
      <c r="AA21" s="51" t="s">
        <v>67</v>
      </c>
      <c r="AB21" s="51" t="s">
        <v>68</v>
      </c>
      <c r="AC21" s="147">
        <f>+IFERROR(VLOOKUP(AB21,'Validacion de datos'!$S$2:$T$4,2,0),"")</f>
        <v>0</v>
      </c>
      <c r="AD21" s="63">
        <f t="shared" si="3"/>
        <v>0.36</v>
      </c>
      <c r="AE21" s="55" t="str">
        <f t="shared" si="4"/>
        <v>Baja</v>
      </c>
      <c r="AF21" s="58">
        <f t="shared" si="23"/>
        <v>0.36</v>
      </c>
      <c r="AG21" s="55" t="str">
        <f t="shared" si="24"/>
        <v>Mayor</v>
      </c>
      <c r="AH21" s="54">
        <f t="shared" si="7"/>
        <v>0.8</v>
      </c>
      <c r="AI21" s="56" t="str">
        <f t="shared" si="25"/>
        <v>Alto</v>
      </c>
      <c r="AJ21" s="51" t="s">
        <v>69</v>
      </c>
      <c r="AK21" s="235" t="s">
        <v>224</v>
      </c>
      <c r="AL21" s="51" t="s">
        <v>70</v>
      </c>
    </row>
    <row r="22" spans="1:73" ht="88.15" customHeight="1">
      <c r="A22" s="131">
        <v>7</v>
      </c>
      <c r="B22" s="263"/>
      <c r="C22" s="258"/>
      <c r="D22" s="160" t="s">
        <v>225</v>
      </c>
      <c r="E22" s="155" t="s">
        <v>226</v>
      </c>
      <c r="F22" s="160" t="s">
        <v>227</v>
      </c>
      <c r="G22" s="59">
        <v>242</v>
      </c>
      <c r="H22" s="64" t="str">
        <f t="shared" si="19"/>
        <v>Media</v>
      </c>
      <c r="I22" s="65">
        <f t="shared" si="8"/>
        <v>0.6</v>
      </c>
      <c r="J22" s="151" t="s">
        <v>122</v>
      </c>
      <c r="K22" s="66" t="str">
        <f>IF(NOT(ISERROR(MATCH(J22,'[1]Validacion de datos'!$H$14:$H$16,0))),'[1]Validacion de datos'!$J$16&amp;"Por favor no seleccionar los criterios de impacto(Afectación Económica o presupuestal y Pérdida Reputacional)",J22)</f>
        <v>El riesgo afecta la imagen de de la entidad con efecto publicitario sostenido a nivel de sector administrativo, nivel departamental o municipal</v>
      </c>
      <c r="L22" s="64" t="str">
        <f>IF(OR(K22=IMPACTO!$C$3,K22=IMPACTO!$D$3),"Leve",IF(OR(K22=IMPACTO!$C$4,K22=IMPACTO!$D$4),"Menor",IF(OR(K22=IMPACTO!$C$5,K22=IMPACTO!$D$5),"Moderado",IF(OR(K22=IMPACTO!$C$6,K22=IMPACTO!$D$6),"Mayor",IF(OR(K22=IMPACTO!$C$7,K22=IMPACTO!$D$7),"Catastrófico","")))))</f>
        <v>Mayor</v>
      </c>
      <c r="M22" s="65">
        <f t="shared" si="20"/>
        <v>0.8</v>
      </c>
      <c r="N22" s="67" t="str">
        <f t="shared" si="26"/>
        <v>Alto</v>
      </c>
      <c r="O22" s="161">
        <v>1</v>
      </c>
      <c r="P22" s="160" t="s">
        <v>228</v>
      </c>
      <c r="Q22" s="262"/>
      <c r="R22" s="151" t="s">
        <v>190</v>
      </c>
      <c r="S22" s="180">
        <v>45554</v>
      </c>
      <c r="T22" s="162" t="str">
        <f t="shared" si="1"/>
        <v>Probabilidad</v>
      </c>
      <c r="U22" s="163" t="s">
        <v>63</v>
      </c>
      <c r="V22" s="163" t="s">
        <v>64</v>
      </c>
      <c r="W22" s="58" t="str">
        <f t="shared" si="22"/>
        <v>30%</v>
      </c>
      <c r="X22" s="137">
        <f t="shared" si="10"/>
        <v>-0.3</v>
      </c>
      <c r="Y22" s="163" t="s">
        <v>65</v>
      </c>
      <c r="Z22" s="163" t="s">
        <v>81</v>
      </c>
      <c r="AA22" s="163" t="s">
        <v>67</v>
      </c>
      <c r="AB22" s="163" t="s">
        <v>68</v>
      </c>
      <c r="AC22" s="147">
        <f>+IFERROR(VLOOKUP(AB22,'Validacion de datos'!$S$2:$T$4,2,0),"")</f>
        <v>0</v>
      </c>
      <c r="AD22" s="164">
        <f t="shared" si="3"/>
        <v>0.42</v>
      </c>
      <c r="AE22" s="165" t="str">
        <f>IFERROR(IF(AD22="","",IF(AD22&lt;=0.2,"Muy Baja",IF(AD22&lt;=0.4,"Baja",IF(AD22&lt;=0.6,"Media",IF(AD22&lt;=0.8,"Alta","Muy Alta"))))),"")</f>
        <v>Media</v>
      </c>
      <c r="AF22" s="58">
        <f t="shared" si="23"/>
        <v>0.42</v>
      </c>
      <c r="AG22" s="165" t="str">
        <f t="shared" si="24"/>
        <v>Mayor</v>
      </c>
      <c r="AH22" s="58">
        <f t="shared" si="7"/>
        <v>0.8</v>
      </c>
      <c r="AI22" s="166" t="str">
        <f t="shared" si="25"/>
        <v>Alto</v>
      </c>
      <c r="AJ22" s="163" t="s">
        <v>69</v>
      </c>
      <c r="AK22" s="235" t="s">
        <v>224</v>
      </c>
      <c r="AL22" s="163" t="s">
        <v>70</v>
      </c>
    </row>
    <row r="23" spans="1:73" s="39" customFormat="1" ht="103.9" customHeight="1">
      <c r="A23" s="1">
        <v>8</v>
      </c>
      <c r="B23" s="1" t="s">
        <v>107</v>
      </c>
      <c r="C23" s="152" t="str">
        <f>+IFERROR(VLOOKUP(B23,'Validacion de datos'!A:B,2,0),"")</f>
        <v xml:space="preserve">Ejecutar y supervisar proyectos gestionados por la Empresa de Vivienda de Antioquia - VIVA con entidades públicas y privadas mediante control y seguimiento de los procesos y actividades derivados del ejercicio contractual de los contratos y/o convenidos celebrados por la entidad.
</v>
      </c>
      <c r="D23" s="158" t="s">
        <v>229</v>
      </c>
      <c r="E23" s="12" t="s">
        <v>230</v>
      </c>
      <c r="F23" s="12" t="s">
        <v>231</v>
      </c>
      <c r="G23" s="4">
        <v>140</v>
      </c>
      <c r="H23" s="40" t="str">
        <f t="shared" si="19"/>
        <v>Media</v>
      </c>
      <c r="I23" s="42">
        <f t="shared" si="8"/>
        <v>0.6</v>
      </c>
      <c r="J23" s="4" t="s">
        <v>122</v>
      </c>
      <c r="K23" s="41" t="str">
        <f>IF(NOT(ISERROR(MATCH(J23,'[1]Validacion de datos'!$H$14:$H$16,0))),'[1]Validacion de datos'!$J$16&amp;"Por favor no seleccionar los criterios de impacto(Afectación Económica o presupuestal y Pérdida Reputacional)",J23)</f>
        <v>El riesgo afecta la imagen de de la entidad con efecto publicitario sostenido a nivel de sector administrativo, nivel departamental o municipal</v>
      </c>
      <c r="L23" s="40" t="str">
        <f>IF(OR(K23=IMPACTO!$C$3,K23=IMPACTO!$D$3),"Leve",IF(OR(K23=IMPACTO!$C$4,K23=IMPACTO!$D$4),"Menor",IF(OR(K23=IMPACTO!$C$5,K23=IMPACTO!$D$5),"Moderado",IF(OR(K23=IMPACTO!$C$6,K23=IMPACTO!$D$6),"Mayor",IF(OR(K23=IMPACTO!$C$7,K23=IMPACTO!$D$7),"Catastrófico","")))))</f>
        <v>Mayor</v>
      </c>
      <c r="M23" s="42">
        <f t="shared" ref="M23" si="27">IF(L23="","",IF(L23="Leve",0.2,IF(L23="Menor",0.4,IF(L23="Moderado",0.6,IF(L23="Mayor",0.8,IF(L23="Catastrófico",1,))))))</f>
        <v>0.8</v>
      </c>
      <c r="N23" s="60" t="str">
        <f t="shared" ref="N23" si="28">IF(OR(AND(H23="Muy Baja",L23="Leve"),AND(H23="Muy Baja",L23="Menor"),AND(H23="Baja",L23="Leve")),"Bajo",IF(OR(AND(H23="Muy baja",L23="Moderado"),AND(H23="Baja",L23="Menor"),AND(H23="Baja",L23="Moderado"),AND(H23="Media",L23="Leve"),AND(H23="Media",L23="Menor"),AND(H23="Media",L23="Moderado"),AND(H23="Alta",L23="Leve"),AND(H23="Alta",L23="Menor")),"Moderado",IF(OR(AND(H23="Muy Baja",L23="Mayor"),AND(H23="Baja",L23="Mayor"),AND(H23="Media",L23="Mayor"),AND(H23="Alta",L23="Moderado"),AND(H23="Alta",L23="Mayor"),AND(H23="Muy Alta",L23="Leve"),AND(H23="Muy Alta",L23="Menor"),AND(H23="Muy Alta",L23="Moderado"),AND(H23="Muy Alta",L23="Mayor")),"Alto",IF(OR(AND(H23="Muy Baja",L23="Catastrófico"),AND(H23="Baja",L23="Catastrófico"),AND(H23="Media",L23="Catastrófico"),AND(H23="Alta",L23="Catastrófico"),AND(H23="Muy Alta",L23="Catastrófico")),"Extremo",""))))</f>
        <v>Alto</v>
      </c>
      <c r="O23" s="27">
        <v>1</v>
      </c>
      <c r="P23" s="28" t="s">
        <v>232</v>
      </c>
      <c r="Q23" s="4" t="s">
        <v>233</v>
      </c>
      <c r="R23" s="4" t="s">
        <v>190</v>
      </c>
      <c r="S23" s="178">
        <v>45554</v>
      </c>
      <c r="T23" s="53" t="str">
        <f t="shared" si="1"/>
        <v>Probabilidad</v>
      </c>
      <c r="U23" s="51" t="s">
        <v>63</v>
      </c>
      <c r="V23" s="51" t="s">
        <v>64</v>
      </c>
      <c r="W23" s="54" t="str">
        <f t="shared" si="22"/>
        <v>30%</v>
      </c>
      <c r="X23" s="137">
        <f t="shared" si="10"/>
        <v>-0.19999999999999998</v>
      </c>
      <c r="Y23" s="51" t="s">
        <v>65</v>
      </c>
      <c r="Z23" s="51" t="s">
        <v>66</v>
      </c>
      <c r="AA23" s="51" t="s">
        <v>67</v>
      </c>
      <c r="AB23" s="51" t="s">
        <v>83</v>
      </c>
      <c r="AC23" s="147">
        <f>+IFERROR(VLOOKUP(AB23,'Validacion de datos'!$S$2:$T$4,2,0),"")</f>
        <v>0.1</v>
      </c>
      <c r="AD23" s="52">
        <f t="shared" si="3"/>
        <v>0.42</v>
      </c>
      <c r="AE23" s="55" t="str">
        <f t="shared" ref="AE23:AE27" si="29">IFERROR(IF(AD23="","",IF(AD23&lt;=0.2,"Muy Baja",IF(AD23&lt;=0.4,"Baja",IF(AD23&lt;=0.6,"Media",IF(AD23&lt;=0.8,"Alta","Muy Alta"))))),"")</f>
        <v>Media</v>
      </c>
      <c r="AF23" s="54">
        <f t="shared" ref="AF23:AF27" si="30">+AD23</f>
        <v>0.42</v>
      </c>
      <c r="AG23" s="55" t="str">
        <f t="shared" ref="AG23:AG27" si="31">IFERROR(IF(AH23="","",IF(AH23&lt;=0.2,"Leve",IF(AH23&lt;=0.4,"Menor",IF(AH23&lt;=0.6,"Moderado",IF(AH23&lt;=0.8,"Mayor","Catastrófico"))))),"")</f>
        <v>Mayor</v>
      </c>
      <c r="AH23" s="54">
        <f t="shared" si="7"/>
        <v>0.8</v>
      </c>
      <c r="AI23" s="56" t="str">
        <f t="shared" ref="AI23:AI27" si="32">IFERROR(IF(OR(AND(AE23="Muy Baja",AG23="Leve"),AND(AE23="Muy Baja",AG23="Menor"),AND(AE23="Baja",AG23="Leve")),"Bajo",IF(OR(AND(AE23="Muy baja",AG23="Moderado"),AND(AE23="Baja",AG23="Menor"),AND(AE23="Baja",AG23="Moderado"),AND(AE23="Media",AG23="Leve"),AND(AE23="Media",AG23="Menor"),AND(AE23="Media",AG23="Moderado"),AND(AE23="Alta",AG23="Leve"),AND(AE23="Alta",AG23="Menor")),"Moderado",IF(OR(AND(AE23="Muy Baja",AG23="Mayor"),AND(AE23="Baja",AG23="Mayor"),AND(AE23="Media",AG23="Mayor"),AND(AE23="Alta",AG23="Moderado"),AND(AE23="Alta",AG23="Mayor"),AND(AE23="Muy Alta",AG23="Leve"),AND(AE23="Muy Alta",AG23="Menor"),AND(AE23="Muy Alta",AG23="Moderado"),AND(AE23="Muy Alta",AG23="Mayor")),"Alto",IF(OR(AND(AE23="Muy Baja",AG23="Catastrófico"),AND(AE23="Baja",AG23="Catastrófico"),AND(AE23="Media",AG23="Catastrófico"),AND(AE23="Alta",AG23="Catastrófico"),AND(AE23="Muy Alta",AG23="Catastrófico")),"Extremo","")))),"")</f>
        <v>Alto</v>
      </c>
      <c r="AJ23" s="51" t="s">
        <v>69</v>
      </c>
      <c r="AK23" s="235" t="s">
        <v>224</v>
      </c>
      <c r="AL23" s="147" t="s">
        <v>70</v>
      </c>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row>
    <row r="24" spans="1:73" ht="108" customHeight="1">
      <c r="A24" s="156">
        <v>9</v>
      </c>
      <c r="B24" s="1" t="s">
        <v>56</v>
      </c>
      <c r="C24" s="152" t="str">
        <f>+IFERROR(VLOOKUP(B24,'Validacion de datos'!A:B,2,0),"")</f>
        <v>Establecer, implementar, mantener y mejorar el Sistema de Gestión con el propósito de fortalecer la mejora del desempeño de los procesos que permita responder al cumplimiento de los objetivos de la entidad y el cumplimiento de los requisitos legales, las necesidades y expectativas de los grupos de valor.</v>
      </c>
      <c r="D24" s="157" t="s">
        <v>234</v>
      </c>
      <c r="E24" s="154" t="s">
        <v>235</v>
      </c>
      <c r="F24" s="154" t="s">
        <v>236</v>
      </c>
      <c r="G24" s="43">
        <v>242</v>
      </c>
      <c r="H24" s="141" t="str">
        <f t="shared" si="19"/>
        <v>Media</v>
      </c>
      <c r="I24" s="142">
        <f t="shared" si="8"/>
        <v>0.6</v>
      </c>
      <c r="J24" s="43" t="s">
        <v>119</v>
      </c>
      <c r="K24" s="143" t="str">
        <f>IF(NOT(ISERROR(MATCH(J24,'[1]Validacion de datos'!$H$14:$H$16,0))),'[1]Validacion de datos'!$J$16&amp;"Por favor no seleccionar los criterios de impacto(Afectación Económica o presupuestal y Pérdida Reputacional)",J24)</f>
        <v>El riesgo afecta la imagen de la entidad con algunos usuarios de relevancia frente al logro de los objetivos</v>
      </c>
      <c r="L24" s="141" t="str">
        <f>IF(OR(K24=IMPACTO!$C$3,K24=IMPACTO!$D$3),"Leve",IF(OR(K24=IMPACTO!$C$4,K24=IMPACTO!$D$4),"Menor",IF(OR(K24=IMPACTO!$C$5,K24=IMPACTO!$D$5),"Moderado",IF(OR(K24=IMPACTO!$C$6,K24=IMPACTO!$D$6),"Mayor",IF(OR(K24=IMPACTO!$C$7,K24=IMPACTO!$D$7),"Catastrófico","")))))</f>
        <v>Moderado</v>
      </c>
      <c r="M24" s="142">
        <f t="shared" si="20"/>
        <v>0.6</v>
      </c>
      <c r="N24" s="144" t="str">
        <f t="shared" si="26"/>
        <v>Moderado</v>
      </c>
      <c r="O24" s="57">
        <v>1</v>
      </c>
      <c r="P24" s="145" t="s">
        <v>237</v>
      </c>
      <c r="Q24" s="43" t="s">
        <v>238</v>
      </c>
      <c r="R24" s="43" t="s">
        <v>190</v>
      </c>
      <c r="S24" s="177">
        <v>45554</v>
      </c>
      <c r="T24" s="146" t="str">
        <f t="shared" si="1"/>
        <v>Probabilidad</v>
      </c>
      <c r="U24" s="147" t="s">
        <v>78</v>
      </c>
      <c r="V24" s="147" t="s">
        <v>64</v>
      </c>
      <c r="W24" s="137" t="str">
        <f t="shared" si="22"/>
        <v>40%</v>
      </c>
      <c r="X24" s="137">
        <f>+AC24-W24</f>
        <v>-0.30000000000000004</v>
      </c>
      <c r="Y24" s="147" t="s">
        <v>65</v>
      </c>
      <c r="Z24" s="147" t="s">
        <v>66</v>
      </c>
      <c r="AA24" s="147" t="s">
        <v>67</v>
      </c>
      <c r="AB24" s="147" t="s">
        <v>83</v>
      </c>
      <c r="AC24" s="147">
        <f>+IFERROR(VLOOKUP(AB24,'Validacion de datos'!$S$2:$T$4,2,0),"")</f>
        <v>0.1</v>
      </c>
      <c r="AD24" s="134">
        <f t="shared" si="3"/>
        <v>0.36</v>
      </c>
      <c r="AE24" s="135" t="str">
        <f t="shared" si="29"/>
        <v>Baja</v>
      </c>
      <c r="AF24" s="136">
        <f t="shared" si="30"/>
        <v>0.36</v>
      </c>
      <c r="AG24" s="135" t="str">
        <f t="shared" si="31"/>
        <v>Moderado</v>
      </c>
      <c r="AH24" s="137">
        <f t="shared" si="7"/>
        <v>0.6</v>
      </c>
      <c r="AI24" s="138" t="str">
        <f t="shared" si="32"/>
        <v>Moderado</v>
      </c>
      <c r="AJ24" s="147" t="s">
        <v>69</v>
      </c>
      <c r="AK24" s="235" t="s">
        <v>239</v>
      </c>
      <c r="AL24" s="147" t="s">
        <v>70</v>
      </c>
    </row>
    <row r="25" spans="1:73" ht="96.75" customHeight="1">
      <c r="A25" s="131">
        <v>10</v>
      </c>
      <c r="B25" s="259" t="s">
        <v>135</v>
      </c>
      <c r="C25" s="257" t="str">
        <f>+IFERROR(VLOOKUP(B25,'Validacion de datos'!A:B,2,0),"")</f>
        <v>Gestionar de manera eficiente la administración, manejo y custodia de los documentos generados en la entidad, para fortalecer eficazmente la gestión documental de la Empresa de Vivienda de Antioquia-VIVA, a través de los elementos técnicos, normativos y operativos necesarios para su adecuado funcionamiento.</v>
      </c>
      <c r="D25" s="168" t="s">
        <v>240</v>
      </c>
      <c r="E25" s="152" t="s">
        <v>241</v>
      </c>
      <c r="F25" s="3" t="s">
        <v>242</v>
      </c>
      <c r="G25" s="59">
        <v>242</v>
      </c>
      <c r="H25" s="64" t="str">
        <f t="shared" ref="H25:H28" si="33">IF(G25&lt;=0,"",IF(G25&lt;=2,"Muy Baja",IF(G25&lt;=24,"Baja",IF(G25&lt;=500,"Media",IF(G25&lt;=5000,"Alta","Muy Alta")))))</f>
        <v>Media</v>
      </c>
      <c r="I25" s="65">
        <f t="shared" ref="I25:I28" si="34">IF(H25="","",IF(H25="Muy Baja",0.2,IF(H25="Baja",0.4,IF(H25="Media",0.6,IF(H25="Alta",0.8,IF(H25="Muy Alta",1,))))))</f>
        <v>0.6</v>
      </c>
      <c r="J25" s="43" t="s">
        <v>119</v>
      </c>
      <c r="K25" s="41" t="str">
        <f>IF(NOT(ISERROR(MATCH(J25,'[1]Validacion de datos'!$H$14:$H$16,0))),'[1]Validacion de datos'!$J$16&amp;"Por favor no seleccionar los criterios de impacto(Afectación Económica o presupuestal y Pérdida Reputacional)",J25)</f>
        <v>El riesgo afecta la imagen de la entidad con algunos usuarios de relevancia frente al logro de los objetivos</v>
      </c>
      <c r="L25" s="64" t="str">
        <f>IF(OR(K25=IMPACTO!$C$3,K25=IMPACTO!$D$3),"Leve",IF(OR(K25=IMPACTO!$C$4,K25=IMPACTO!$D$4),"Menor",IF(OR(K25=IMPACTO!$C$5,K25=IMPACTO!$D$5),"Moderado",IF(OR(K25=IMPACTO!$C$6,K25=IMPACTO!$D$6),"Mayor",IF(OR(K25=IMPACTO!$C$7,K25=IMPACTO!$D$7),"Catastrófico","")))))</f>
        <v>Moderado</v>
      </c>
      <c r="M25" s="65">
        <f>IF(L25="","",IF(L25="Leve",0.2,IF(L25="Menor",0.4,IF(L25="Moderado",0.6,IF(L25="Mayor",0.8,IF(L25="Catastrófico",1,))))))</f>
        <v>0.6</v>
      </c>
      <c r="N25" s="67"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27">
        <v>1</v>
      </c>
      <c r="P25" s="3" t="s">
        <v>243</v>
      </c>
      <c r="Q25" s="4" t="s">
        <v>244</v>
      </c>
      <c r="R25" s="4" t="s">
        <v>190</v>
      </c>
      <c r="S25" s="178">
        <v>45554</v>
      </c>
      <c r="T25" s="53" t="str">
        <f t="shared" si="1"/>
        <v>Probabilidad</v>
      </c>
      <c r="U25" s="51" t="s">
        <v>78</v>
      </c>
      <c r="V25" s="147" t="s">
        <v>79</v>
      </c>
      <c r="W25" s="54" t="str">
        <f t="shared" si="22"/>
        <v>50%</v>
      </c>
      <c r="X25" s="137">
        <f t="shared" si="10"/>
        <v>-0.5</v>
      </c>
      <c r="Y25" s="51" t="s">
        <v>80</v>
      </c>
      <c r="Z25" s="147" t="s">
        <v>66</v>
      </c>
      <c r="AA25" s="51" t="s">
        <v>67</v>
      </c>
      <c r="AB25" s="51" t="s">
        <v>68</v>
      </c>
      <c r="AC25" s="147">
        <f>+IFERROR(VLOOKUP(AB25,'Validacion de datos'!$S$2:$T$4,2,0),"")</f>
        <v>0</v>
      </c>
      <c r="AD25" s="134">
        <f t="shared" ref="AD25:AD41" si="35">IFERROR(IF(T25="Probabilidad",(I25-(+I25*W25)),IF(T25="Impacto",I25,"")),"")</f>
        <v>0.3</v>
      </c>
      <c r="AE25" s="55" t="str">
        <f t="shared" si="29"/>
        <v>Baja</v>
      </c>
      <c r="AF25" s="58">
        <f t="shared" si="30"/>
        <v>0.3</v>
      </c>
      <c r="AG25" s="55" t="str">
        <f>IFERROR(IF(AH25="","",IF(AH25&lt;=0.2,"Leve",IF(AH25&lt;=0.4,"Menor",IF(AH25&lt;=0.6,"Moderado",IF(AH25&lt;=0.8,"Mayor","Catastrófico"))))),"")</f>
        <v>Moderado</v>
      </c>
      <c r="AH25" s="54">
        <f t="shared" si="7"/>
        <v>0.6</v>
      </c>
      <c r="AI25" s="138" t="str">
        <f t="shared" si="32"/>
        <v>Moderado</v>
      </c>
      <c r="AJ25" s="51" t="s">
        <v>101</v>
      </c>
      <c r="AK25" s="235" t="s">
        <v>245</v>
      </c>
      <c r="AL25" s="51" t="s">
        <v>70</v>
      </c>
    </row>
    <row r="26" spans="1:73" ht="75" customHeight="1">
      <c r="A26" s="1">
        <v>11</v>
      </c>
      <c r="B26" s="263"/>
      <c r="C26" s="258"/>
      <c r="D26" s="168" t="s">
        <v>246</v>
      </c>
      <c r="E26" s="152" t="s">
        <v>247</v>
      </c>
      <c r="F26" s="3" t="s">
        <v>248</v>
      </c>
      <c r="G26" s="4">
        <v>242</v>
      </c>
      <c r="H26" s="40" t="str">
        <f t="shared" si="33"/>
        <v>Media</v>
      </c>
      <c r="I26" s="42">
        <f t="shared" si="34"/>
        <v>0.6</v>
      </c>
      <c r="J26" s="43" t="s">
        <v>119</v>
      </c>
      <c r="K26" s="41" t="str">
        <f>IF(NOT(ISERROR(MATCH(J26,'[1]Validacion de datos'!$H$14:$H$16,0))),'[1]Validacion de datos'!$J$16&amp;"Por favor no seleccionar los criterios de impacto(Afectación Económica o presupuestal y Pérdida Reputacional)",J26)</f>
        <v>El riesgo afecta la imagen de la entidad con algunos usuarios de relevancia frente al logro de los objetivos</v>
      </c>
      <c r="L26" s="40" t="str">
        <f>IF(OR(K26=IMPACTO!$C$3,K26=IMPACTO!$D$3),"Leve",IF(OR(K26=IMPACTO!$C$4,K26=IMPACTO!$D$4),"Menor",IF(OR(K26=IMPACTO!$C$5,K26=IMPACTO!$D$5),"Moderado",IF(OR(K26=IMPACTO!$C$6,K26=IMPACTO!$D$6),"Mayor",IF(OR(K26=IMPACTO!$C$7,K26=IMPACTO!$D$7),"Catastrófico","")))))</f>
        <v>Moderado</v>
      </c>
      <c r="M26" s="42">
        <f t="shared" si="20"/>
        <v>0.6</v>
      </c>
      <c r="N26" s="60" t="str">
        <f t="shared" si="26"/>
        <v>Moderado</v>
      </c>
      <c r="O26" s="27">
        <v>1</v>
      </c>
      <c r="P26" s="3" t="s">
        <v>249</v>
      </c>
      <c r="Q26" s="4" t="s">
        <v>250</v>
      </c>
      <c r="R26" s="4" t="s">
        <v>190</v>
      </c>
      <c r="S26" s="178">
        <v>45554</v>
      </c>
      <c r="T26" s="53" t="str">
        <f t="shared" si="1"/>
        <v>Probabilidad</v>
      </c>
      <c r="U26" s="51" t="s">
        <v>78</v>
      </c>
      <c r="V26" s="147" t="s">
        <v>79</v>
      </c>
      <c r="W26" s="54" t="str">
        <f t="shared" si="22"/>
        <v>50%</v>
      </c>
      <c r="X26" s="137">
        <f t="shared" si="10"/>
        <v>-0.5</v>
      </c>
      <c r="Y26" s="51" t="s">
        <v>80</v>
      </c>
      <c r="Z26" s="147" t="s">
        <v>66</v>
      </c>
      <c r="AA26" s="51" t="s">
        <v>67</v>
      </c>
      <c r="AB26" s="51" t="s">
        <v>68</v>
      </c>
      <c r="AC26" s="147">
        <f>+IFERROR(VLOOKUP(AB26,'Validacion de datos'!$S$2:$T$4,2,0),"")</f>
        <v>0</v>
      </c>
      <c r="AD26" s="134">
        <f t="shared" si="35"/>
        <v>0.3</v>
      </c>
      <c r="AE26" s="55" t="str">
        <f t="shared" si="29"/>
        <v>Baja</v>
      </c>
      <c r="AF26" s="58">
        <f t="shared" si="30"/>
        <v>0.3</v>
      </c>
      <c r="AG26" s="55" t="str">
        <f t="shared" si="31"/>
        <v>Moderado</v>
      </c>
      <c r="AH26" s="54">
        <f t="shared" si="7"/>
        <v>0.6</v>
      </c>
      <c r="AI26" s="56" t="str">
        <f t="shared" si="32"/>
        <v>Moderado</v>
      </c>
      <c r="AJ26" s="51" t="s">
        <v>69</v>
      </c>
      <c r="AK26" s="235" t="s">
        <v>251</v>
      </c>
      <c r="AL26" s="51" t="s">
        <v>70</v>
      </c>
    </row>
    <row r="27" spans="1:73" ht="75" customHeight="1">
      <c r="A27" s="131">
        <v>12</v>
      </c>
      <c r="B27" s="260"/>
      <c r="C27" s="264"/>
      <c r="D27" s="169" t="s">
        <v>252</v>
      </c>
      <c r="E27" s="170" t="s">
        <v>253</v>
      </c>
      <c r="F27" s="160" t="s">
        <v>254</v>
      </c>
      <c r="G27" s="59">
        <v>242</v>
      </c>
      <c r="H27" s="64" t="str">
        <f t="shared" si="33"/>
        <v>Media</v>
      </c>
      <c r="I27" s="65">
        <f t="shared" si="34"/>
        <v>0.6</v>
      </c>
      <c r="J27" s="151" t="s">
        <v>119</v>
      </c>
      <c r="K27" s="66" t="str">
        <f>IF(NOT(ISERROR(MATCH(J27,'[1]Validacion de datos'!$H$14:$H$16,0))),'[1]Validacion de datos'!$J$16&amp;"Por favor no seleccionar los criterios de impacto(Afectación Económica o presupuestal y Pérdida Reputacional)",J27)</f>
        <v>El riesgo afecta la imagen de la entidad con algunos usuarios de relevancia frente al logro de los objetivos</v>
      </c>
      <c r="L27" s="64" t="str">
        <f>IF(OR(K27=IMPACTO!$C$3,K27=IMPACTO!$D$3),"Leve",IF(OR(K27=IMPACTO!$C$4,K27=IMPACTO!$D$4),"Menor",IF(OR(K27=IMPACTO!$C$5,K27=IMPACTO!$D$5),"Moderado",IF(OR(K27=IMPACTO!$C$6,K27=IMPACTO!$D$6),"Mayor",IF(OR(K27=IMPACTO!$C$7,K27=IMPACTO!$D$7),"Catastrófico","")))))</f>
        <v>Moderado</v>
      </c>
      <c r="M27" s="65">
        <f t="shared" si="20"/>
        <v>0.6</v>
      </c>
      <c r="N27" s="67" t="str">
        <f t="shared" si="26"/>
        <v>Moderado</v>
      </c>
      <c r="O27" s="161">
        <v>1</v>
      </c>
      <c r="P27" s="160" t="s">
        <v>255</v>
      </c>
      <c r="Q27" s="59" t="s">
        <v>256</v>
      </c>
      <c r="R27" s="59" t="s">
        <v>190</v>
      </c>
      <c r="S27" s="179">
        <v>45554</v>
      </c>
      <c r="T27" s="162" t="str">
        <f t="shared" si="1"/>
        <v>Probabilidad</v>
      </c>
      <c r="U27" s="51" t="s">
        <v>63</v>
      </c>
      <c r="V27" s="147" t="s">
        <v>64</v>
      </c>
      <c r="W27" s="58" t="str">
        <f t="shared" si="22"/>
        <v>30%</v>
      </c>
      <c r="X27" s="137">
        <f t="shared" si="10"/>
        <v>-0.3</v>
      </c>
      <c r="Y27" s="51" t="s">
        <v>80</v>
      </c>
      <c r="Z27" s="147" t="s">
        <v>66</v>
      </c>
      <c r="AA27" s="163" t="s">
        <v>67</v>
      </c>
      <c r="AB27" s="51" t="s">
        <v>68</v>
      </c>
      <c r="AC27" s="147">
        <f>+IFERROR(VLOOKUP(AB27,'Validacion de datos'!$S$2:$T$4,2,0),"")</f>
        <v>0</v>
      </c>
      <c r="AD27" s="134">
        <f t="shared" si="35"/>
        <v>0.42</v>
      </c>
      <c r="AE27" s="165" t="str">
        <f t="shared" si="29"/>
        <v>Media</v>
      </c>
      <c r="AF27" s="58">
        <f t="shared" si="30"/>
        <v>0.42</v>
      </c>
      <c r="AG27" s="165" t="str">
        <f t="shared" si="31"/>
        <v>Moderado</v>
      </c>
      <c r="AH27" s="58">
        <f t="shared" si="7"/>
        <v>0.6</v>
      </c>
      <c r="AI27" s="166" t="str">
        <f t="shared" si="32"/>
        <v>Moderado</v>
      </c>
      <c r="AJ27" s="167" t="s">
        <v>257</v>
      </c>
      <c r="AK27" s="235" t="s">
        <v>258</v>
      </c>
      <c r="AL27" s="163" t="s">
        <v>85</v>
      </c>
    </row>
    <row r="28" spans="1:73" s="39" customFormat="1" ht="166.5" customHeight="1">
      <c r="A28" s="231">
        <v>13</v>
      </c>
      <c r="B28" s="231" t="s">
        <v>120</v>
      </c>
      <c r="C28" s="232" t="str">
        <f>+IFERROR(VLOOKUP(B28,'Validacion de datos'!A:B,2,0),"")</f>
        <v>Asesorar y acompañar a los municipios y las dependencias de la organización en la gestión de titulación, legalización de predios, estudio de titulo para mejoramientos de vivienda, escrituración de vivienda nueva y crédito rotatorio de vivienda, y el saneamiento predial.</v>
      </c>
      <c r="D28" s="233" t="s">
        <v>259</v>
      </c>
      <c r="E28" s="234" t="s">
        <v>260</v>
      </c>
      <c r="F28" s="235" t="s">
        <v>261</v>
      </c>
      <c r="G28" s="236">
        <v>500</v>
      </c>
      <c r="H28" s="237" t="str">
        <f t="shared" si="33"/>
        <v>Media</v>
      </c>
      <c r="I28" s="238">
        <f t="shared" si="34"/>
        <v>0.6</v>
      </c>
      <c r="J28" s="239" t="s">
        <v>119</v>
      </c>
      <c r="K28" s="240" t="str">
        <f>IF(NOT(ISERROR(MATCH(J28,'[1]Validacion de datos'!$H$14:$H$16,0))),'[1]Validacion de datos'!$J$16&amp;"Por favor no seleccionar los criterios de impacto(Afectación Económica o presupuestal y Pérdida Reputacional)",J28)</f>
        <v>El riesgo afecta la imagen de la entidad con algunos usuarios de relevancia frente al logro de los objetivos</v>
      </c>
      <c r="L28" s="237" t="str">
        <f>IF(OR(K28=IMPACTO!$C$3,K28=IMPACTO!$D$3),"Leve",IF(OR(K28=IMPACTO!$C$4,K28=IMPACTO!$D$4),"Menor",IF(OR(K28=IMPACTO!$C$5,K28=IMPACTO!$D$5),"Moderado",IF(OR(K28=IMPACTO!$C$6,K28=IMPACTO!$D$6),"Mayor",IF(OR(K28=IMPACTO!$C$7,K28=IMPACTO!$D$7),"Catastrófico","")))))</f>
        <v>Moderado</v>
      </c>
      <c r="M28" s="238">
        <f>IF(L28="","",IF(L28="Leve",0.2,IF(L28="Menor",0.4,IF(L28="Moderado",0.6,IF(L28="Mayor",0.8,IF(L28="Catastrófico",1,))))))</f>
        <v>0.6</v>
      </c>
      <c r="N28" s="241"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242">
        <v>1</v>
      </c>
      <c r="P28" s="235" t="s">
        <v>262</v>
      </c>
      <c r="Q28" s="236" t="s">
        <v>263</v>
      </c>
      <c r="R28" s="236" t="s">
        <v>190</v>
      </c>
      <c r="S28" s="243">
        <v>45554</v>
      </c>
      <c r="T28" s="244" t="str">
        <f>IF(OR(U28="Preventivo",U28="Detectivo"),"Probabilidad",IF(U28="Correctivo","Impacto",""))</f>
        <v>Probabilidad</v>
      </c>
      <c r="U28" s="245" t="s">
        <v>78</v>
      </c>
      <c r="V28" s="245" t="s">
        <v>64</v>
      </c>
      <c r="W28" s="246" t="str">
        <f>IF(AND(U28="Preventivo",V28="Automática"),"50%",IF(AND(U28="Preventivo",V28="Manual"),"40%",IF(AND(U28="Detectivo",V28="Automática"),"40%",IF(AND(U28="Detectivo",V28="Manual"),"30%",IF(AND(U28="Correctivo",V28="Automática"),"35%",IF(AND(U28="Correctivo",V28="Manual"),"25%",""))))))</f>
        <v>40%</v>
      </c>
      <c r="X28" s="247">
        <f t="shared" si="10"/>
        <v>-0.4</v>
      </c>
      <c r="Y28" s="245" t="s">
        <v>65</v>
      </c>
      <c r="Z28" s="245" t="s">
        <v>66</v>
      </c>
      <c r="AA28" s="245" t="s">
        <v>67</v>
      </c>
      <c r="AB28" s="245" t="s">
        <v>68</v>
      </c>
      <c r="AC28" s="248">
        <f>+IFERROR(VLOOKUP(AB28,'Validacion de datos'!$S$2:$T$4,2,0),"")</f>
        <v>0</v>
      </c>
      <c r="AD28" s="249">
        <f t="shared" si="35"/>
        <v>0.36</v>
      </c>
      <c r="AE28" s="250" t="str">
        <f t="shared" ref="AE28:AE31" si="36">IFERROR(IF(AD28="","",IF(AD28&lt;=0.2,"Muy Baja",IF(AD28&lt;=0.4,"Baja",IF(AD28&lt;=0.6,"Media",IF(AD28&lt;=0.8,"Alta","Muy Alta"))))),"")</f>
        <v>Baja</v>
      </c>
      <c r="AF28" s="246">
        <f t="shared" ref="AF28:AF31" si="37">+AD28</f>
        <v>0.36</v>
      </c>
      <c r="AG28" s="250" t="str">
        <f t="shared" ref="AG28:AG29" si="38">IFERROR(IF(AH28="","",IF(AH28&lt;=0.2,"Leve",IF(AH28&lt;=0.4,"Menor",IF(AH28&lt;=0.6,"Moderado",IF(AH28&lt;=0.8,"Mayor","Catastrófico"))))),"")</f>
        <v>Moderado</v>
      </c>
      <c r="AH28" s="246">
        <f t="shared" si="7"/>
        <v>0.6</v>
      </c>
      <c r="AI28" s="251" t="str">
        <f t="shared" ref="AI28:AI29" si="39">IFERROR(IF(OR(AND(AE28="Muy Baja",AG28="Leve"),AND(AE28="Muy Baja",AG28="Menor"),AND(AE28="Baja",AG28="Leve")),"Bajo",IF(OR(AND(AE28="Muy baja",AG28="Moderado"),AND(AE28="Baja",AG28="Menor"),AND(AE28="Baja",AG28="Moderado"),AND(AE28="Media",AG28="Leve"),AND(AE28="Media",AG28="Menor"),AND(AE28="Media",AG28="Moderado"),AND(AE28="Alta",AG28="Leve"),AND(AE28="Alta",AG28="Menor")),"Moderado",IF(OR(AND(AE28="Muy Baja",AG28="Mayor"),AND(AE28="Baja",AG28="Mayor"),AND(AE28="Media",AG28="Mayor"),AND(AE28="Alta",AG28="Moderado"),AND(AE28="Alta",AG28="Mayor"),AND(AE28="Muy Alta",AG28="Leve"),AND(AE28="Muy Alta",AG28="Menor"),AND(AE28="Muy Alta",AG28="Moderado"),AND(AE28="Muy Alta",AG28="Mayor")),"Alto",IF(OR(AND(AE28="Muy Baja",AG28="Catastrófico"),AND(AE28="Baja",AG28="Catastrófico"),AND(AE28="Media",AG28="Catastrófico"),AND(AE28="Alta",AG28="Catastrófico"),AND(AE28="Muy Alta",AG28="Catastrófico")),"Extremo","")))),"")</f>
        <v>Moderado</v>
      </c>
      <c r="AJ28" s="245" t="s">
        <v>69</v>
      </c>
      <c r="AK28" s="235" t="s">
        <v>239</v>
      </c>
      <c r="AL28" s="245" t="s">
        <v>70</v>
      </c>
      <c r="AM28" s="7"/>
      <c r="AN28" s="7"/>
      <c r="AO28" s="7"/>
      <c r="AP28" s="7"/>
      <c r="AQ28" s="7"/>
      <c r="AR28" s="7"/>
      <c r="AS28" s="7"/>
      <c r="AT28" s="7"/>
      <c r="AU28" s="7"/>
      <c r="AV28" s="7"/>
      <c r="AW28" s="7"/>
      <c r="AX28" s="7"/>
      <c r="AY28" s="7"/>
      <c r="AZ28" s="7"/>
      <c r="BA28" s="7"/>
      <c r="BB28" s="7"/>
      <c r="BC28" s="7"/>
      <c r="BD28" s="7"/>
      <c r="BE28" s="7"/>
      <c r="BF28" s="7"/>
      <c r="BG28" s="7"/>
      <c r="BH28" s="7"/>
    </row>
    <row r="29" spans="1:73" s="39" customFormat="1" ht="159" customHeight="1">
      <c r="A29" s="156">
        <v>14</v>
      </c>
      <c r="B29" s="156" t="s">
        <v>123</v>
      </c>
      <c r="C29" s="230" t="str">
        <f>+IFERROR(VLOOKUP(B29,'Validacion de datos'!A:B,2,0),"")</f>
        <v>Facilitar el mecanismo financiero y recurso para la compra de vivienda nueva, construcción en sitio propio, en proyectos de vivienda social, mejoramiento de vivienda y sustitución de deuda, dirigido a familias de bajos recursos en el Departamento de Antioquia, cuyos ingresos no superen cuatro (4) SMMLV.</v>
      </c>
      <c r="D29" s="157" t="s">
        <v>264</v>
      </c>
      <c r="E29" s="252" t="s">
        <v>265</v>
      </c>
      <c r="F29" s="252" t="s">
        <v>266</v>
      </c>
      <c r="G29" s="43">
        <v>60</v>
      </c>
      <c r="H29" s="253" t="str">
        <f t="shared" ref="H29:H31" si="40">IF(G29&lt;=0,"",IF(G29&lt;=2,"Muy Baja",IF(G29&lt;=24,"Baja",IF(G29&lt;=500,"Media",IF(G29&lt;=5000,"Alta","Muy Alta")))))</f>
        <v>Media</v>
      </c>
      <c r="I29" s="142">
        <f t="shared" ref="I29:I31" si="41">IF(H29="","",IF(H29="Muy Baja",0.2,IF(H29="Baja",0.4,IF(H29="Media",0.6,IF(H29="Alta",0.8,IF(H29="Muy Alta",1,))))))</f>
        <v>0.6</v>
      </c>
      <c r="J29" s="38" t="s">
        <v>119</v>
      </c>
      <c r="K29" s="143" t="str">
        <f>IF(NOT(ISERROR(MATCH(J29,'[1]Validacion de datos'!$H$14:$H$16,0))),'[1]Validacion de datos'!$J$16&amp;"Por favor no seleccionar los criterios de impacto(Afectación Económica o presupuestal y Pérdida Reputacional)",J29)</f>
        <v>El riesgo afecta la imagen de la entidad con algunos usuarios de relevancia frente al logro de los objetivos</v>
      </c>
      <c r="L29" s="253" t="str">
        <f>IF(OR(K29=IMPACTO!$C$3,K29=IMPACTO!$D$3),"Leve",IF(OR(K29=IMPACTO!$C$4,K29=IMPACTO!$D$4),"Menor",IF(OR(K29=IMPACTO!$C$5,K29=IMPACTO!$D$5),"Moderado",IF(OR(K29=IMPACTO!$C$6,K29=IMPACTO!$D$6),"Mayor",IF(OR(K29=IMPACTO!$C$7,K29=IMPACTO!$D$7),"Catastrófico","")))))</f>
        <v>Moderado</v>
      </c>
      <c r="M29" s="142">
        <f t="shared" ref="M29:M30" si="42">IF(L29="","",IF(L29="Leve",0.2,IF(L29="Menor",0.4,IF(L29="Moderado",0.6,IF(L29="Mayor",0.8,IF(L29="Catastrófico",1,))))))</f>
        <v>0.6</v>
      </c>
      <c r="N29" s="254" t="str">
        <f t="shared" ref="N29:N31" si="43">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Moderado</v>
      </c>
      <c r="O29" s="57">
        <v>1</v>
      </c>
      <c r="P29" s="145" t="s">
        <v>267</v>
      </c>
      <c r="Q29" s="38" t="s">
        <v>268</v>
      </c>
      <c r="R29" s="43" t="s">
        <v>190</v>
      </c>
      <c r="S29" s="177">
        <v>45554</v>
      </c>
      <c r="T29" s="146" t="str">
        <f t="shared" si="1"/>
        <v>Probabilidad</v>
      </c>
      <c r="U29" s="147" t="s">
        <v>78</v>
      </c>
      <c r="V29" s="147" t="s">
        <v>64</v>
      </c>
      <c r="W29" s="137" t="str">
        <f t="shared" ref="W29:W30" si="44">IF(AND(U29="Preventivo",V29="Automática"),"50%",IF(AND(U29="Preventivo",V29="Manual"),"40%",IF(AND(U29="Detectivo",V29="Automática"),"40%",IF(AND(U29="Detectivo",V29="Manual"),"30%",IF(AND(U29="Correctivo",V29="Automática"),"35%",IF(AND(U29="Correctivo",V29="Manual"),"25%",""))))))</f>
        <v>40%</v>
      </c>
      <c r="X29" s="137">
        <f t="shared" si="10"/>
        <v>-0.30000000000000004</v>
      </c>
      <c r="Y29" s="147" t="s">
        <v>65</v>
      </c>
      <c r="Z29" s="147" t="s">
        <v>81</v>
      </c>
      <c r="AA29" s="147" t="s">
        <v>67</v>
      </c>
      <c r="AB29" s="147" t="s">
        <v>83</v>
      </c>
      <c r="AC29" s="147">
        <f>+IFERROR(VLOOKUP(AB29,'Validacion de datos'!$S$2:$T$4,2,0),"")</f>
        <v>0.1</v>
      </c>
      <c r="AD29" s="134">
        <f t="shared" si="35"/>
        <v>0.36</v>
      </c>
      <c r="AE29" s="135" t="str">
        <f t="shared" si="36"/>
        <v>Baja</v>
      </c>
      <c r="AF29" s="137">
        <f t="shared" si="37"/>
        <v>0.36</v>
      </c>
      <c r="AG29" s="135" t="str">
        <f t="shared" si="38"/>
        <v>Moderado</v>
      </c>
      <c r="AH29" s="137">
        <f t="shared" si="7"/>
        <v>0.6</v>
      </c>
      <c r="AI29" s="138" t="str">
        <f t="shared" si="39"/>
        <v>Moderado</v>
      </c>
      <c r="AJ29" s="147" t="s">
        <v>101</v>
      </c>
      <c r="AK29" s="235" t="s">
        <v>269</v>
      </c>
      <c r="AL29" s="147" t="s">
        <v>70</v>
      </c>
      <c r="AM29" s="7"/>
      <c r="AN29" s="7"/>
      <c r="AO29" s="7"/>
      <c r="AP29" s="7"/>
      <c r="AQ29" s="7"/>
      <c r="AR29" s="7"/>
      <c r="AS29" s="7"/>
      <c r="AT29" s="7"/>
      <c r="AU29" s="7"/>
      <c r="AV29" s="7"/>
      <c r="AW29" s="7"/>
      <c r="AX29" s="7"/>
      <c r="AY29" s="7"/>
      <c r="AZ29" s="7"/>
      <c r="BA29" s="7"/>
      <c r="BB29" s="7"/>
      <c r="BC29" s="7"/>
      <c r="BD29" s="7"/>
      <c r="BE29" s="7"/>
      <c r="BF29" s="7"/>
      <c r="BG29" s="7"/>
      <c r="BH29" s="7"/>
    </row>
    <row r="30" spans="1:73" s="39" customFormat="1" ht="376.15" customHeight="1">
      <c r="A30" s="1">
        <v>15</v>
      </c>
      <c r="B30" s="259" t="s">
        <v>113</v>
      </c>
      <c r="C30" s="257" t="str">
        <f>+IFERROR(VLOOKUP(B30,'Validacion de datos'!A:B,2,0),"")</f>
        <v>Promover y gestionar el suministro y entrega de materiales, maquinaria, equipos, herramientas, elementos de construcción y soluciones  integrales a través de la red de Aliados Estratégicos, para las entidades públicas y sin ánimo de lucro del orden local, departamental y nacional que se enfoquen en el desarrollo de proyectos de vivienda, mejoramientos de vivienda e infraestructura pública vinculados a los Planes de Desarrollo Municipales, Departamentales y Nacionales, así como los proyectos que desarrolla la Empresa de Vivienda de Antioquia VIVA.</v>
      </c>
      <c r="D30" s="152" t="s">
        <v>270</v>
      </c>
      <c r="E30" s="152" t="s">
        <v>271</v>
      </c>
      <c r="F30" s="3" t="s">
        <v>272</v>
      </c>
      <c r="G30" s="4">
        <v>100</v>
      </c>
      <c r="H30" s="171" t="str">
        <f t="shared" si="40"/>
        <v>Media</v>
      </c>
      <c r="I30" s="42">
        <f t="shared" si="41"/>
        <v>0.6</v>
      </c>
      <c r="J30" s="2" t="s">
        <v>119</v>
      </c>
      <c r="K30" s="41" t="str">
        <f>IF(NOT(ISERROR(MATCH(J30,'[1]Validacion de datos'!$H$14:$H$16,0))),'[1]Validacion de datos'!$J$16&amp;"Por favor no seleccionar los criterios de impacto(Afectación Económica o presupuestal y Pérdida Reputacional)",J30)</f>
        <v>El riesgo afecta la imagen de la entidad con algunos usuarios de relevancia frente al logro de los objetivos</v>
      </c>
      <c r="L30" s="171" t="str">
        <f>IF(OR(K30=IMPACTO!$C$3,K30=IMPACTO!$D$3),"Leve",IF(OR(K30=IMPACTO!$C$4,K30=IMPACTO!$D$4),"Menor",IF(OR(K30=IMPACTO!$C$5,K30=IMPACTO!$D$5),"Moderado",IF(OR(K30=IMPACTO!$C$6,K30=IMPACTO!$D$6),"Mayor",IF(OR(K30=IMPACTO!$C$7,K30=IMPACTO!$D$7),"Catastrófico","")))))</f>
        <v>Moderado</v>
      </c>
      <c r="M30" s="42">
        <f t="shared" si="42"/>
        <v>0.6</v>
      </c>
      <c r="N30" s="172" t="str">
        <f t="shared" si="43"/>
        <v>Moderado</v>
      </c>
      <c r="O30" s="27">
        <v>1</v>
      </c>
      <c r="P30" s="3" t="s">
        <v>273</v>
      </c>
      <c r="Q30" s="4" t="s">
        <v>268</v>
      </c>
      <c r="R30" s="4" t="s">
        <v>190</v>
      </c>
      <c r="S30" s="178">
        <v>45554</v>
      </c>
      <c r="T30" s="53" t="str">
        <f t="shared" si="1"/>
        <v>Probabilidad</v>
      </c>
      <c r="U30" s="51" t="s">
        <v>63</v>
      </c>
      <c r="V30" s="51" t="s">
        <v>64</v>
      </c>
      <c r="W30" s="54" t="str">
        <f t="shared" si="44"/>
        <v>30%</v>
      </c>
      <c r="X30" s="137">
        <f t="shared" si="10"/>
        <v>-0.19999999999999998</v>
      </c>
      <c r="Y30" s="51" t="s">
        <v>65</v>
      </c>
      <c r="Z30" s="51" t="s">
        <v>66</v>
      </c>
      <c r="AA30" s="51" t="s">
        <v>67</v>
      </c>
      <c r="AB30" s="51" t="s">
        <v>83</v>
      </c>
      <c r="AC30" s="147">
        <f>+IFERROR(VLOOKUP(AB30,'Validacion de datos'!$S$2:$T$4,2,0),"")</f>
        <v>0.1</v>
      </c>
      <c r="AD30" s="134">
        <f t="shared" si="35"/>
        <v>0.42</v>
      </c>
      <c r="AE30" s="55" t="str">
        <f t="shared" si="36"/>
        <v>Media</v>
      </c>
      <c r="AF30" s="54">
        <f t="shared" si="37"/>
        <v>0.42</v>
      </c>
      <c r="AG30" s="55" t="str">
        <f>IFERROR(IF(AH30="","",IF(AH30&lt;=0.2,"Leve",IF(AH30&lt;=0.4,"Menor",IF(AH30&lt;=0.6,"Moderado",IF(AH30&lt;=0.8,"Mayor","Catastrófico"))))),"")</f>
        <v>Moderado</v>
      </c>
      <c r="AH30" s="54">
        <f t="shared" si="7"/>
        <v>0.6</v>
      </c>
      <c r="AI30" s="56" t="str">
        <f>IFERROR(IF(OR(AND(AE30="Muy Baja",AG30="Leve"),AND(AE30="Muy Baja",AG30="Menor"),AND(AE30="Baja",AG30="Leve")),"Bajo",IF(OR(AND(AE30="Muy baja",AG30="Moderado"),AND(AE30="Baja",AG30="Menor"),AND(AE30="Baja",AG30="Moderado"),AND(AE30="Media",AG30="Leve"),AND(AE30="Media",AG30="Menor"),AND(AE30="Media",AG30="Moderado"),AND(AE30="Alta",AG30="Leve"),AND(AE30="Alta",AG30="Menor")),"Moderado",IF(OR(AND(AE30="Muy Baja",AG30="Mayor"),AND(AE30="Baja",AG30="Mayor"),AND(AE30="Media",AG30="Mayor"),AND(AE30="Alta",AG30="Moderado"),AND(AE30="Alta",AG30="Mayor"),AND(AE30="Muy Alta",AG30="Leve"),AND(AE30="Muy Alta",AG30="Menor"),AND(AE30="Muy Alta",AG30="Moderado"),AND(AE30="Muy Alta",AG30="Mayor")),"Alto",IF(OR(AND(AE30="Muy Baja",AG30="Catastrófico"),AND(AE30="Baja",AG30="Catastrófico"),AND(AE30="Media",AG30="Catastrófico"),AND(AE30="Alta",AG30="Catastrófico"),AND(AE30="Muy Alta",AG30="Catastrófico")),"Extremo","")))),"")</f>
        <v>Moderado</v>
      </c>
      <c r="AJ30" s="51" t="s">
        <v>69</v>
      </c>
      <c r="AK30" s="3" t="s">
        <v>274</v>
      </c>
      <c r="AL30" s="51" t="s">
        <v>70</v>
      </c>
    </row>
    <row r="31" spans="1:73" s="39" customFormat="1" ht="143.25" customHeight="1">
      <c r="A31" s="1">
        <v>16</v>
      </c>
      <c r="B31" s="263"/>
      <c r="C31" s="258"/>
      <c r="D31" s="152" t="s">
        <v>275</v>
      </c>
      <c r="E31" s="152" t="s">
        <v>276</v>
      </c>
      <c r="F31" s="3" t="s">
        <v>277</v>
      </c>
      <c r="G31" s="4">
        <v>360</v>
      </c>
      <c r="H31" s="171" t="str">
        <f t="shared" si="40"/>
        <v>Media</v>
      </c>
      <c r="I31" s="42">
        <f t="shared" si="41"/>
        <v>0.6</v>
      </c>
      <c r="J31" s="2" t="s">
        <v>112</v>
      </c>
      <c r="K31" s="41" t="str">
        <f>IF(NOT(ISERROR(MATCH(J31,'[1]Validacion de datos'!$H$14:$H$16,0))),'[1]Validacion de datos'!$J$16&amp;"Por favor no seleccionar los criterios de impacto(Afectación Económica o presupuestal y Pérdida Reputacional)",J31)</f>
        <v>El riesgo afecta la imagen de alguna área de la organización</v>
      </c>
      <c r="L31" s="171" t="str">
        <f>IF(OR(K31=IMPACTO!$C$3,K31=IMPACTO!$D$3),"Leve",IF(OR(K31=IMPACTO!$C$4,K31=IMPACTO!$D$4),"Menor",IF(OR(K31=IMPACTO!$C$5,K31=IMPACTO!$D$5),"Moderado",IF(OR(K31=IMPACTO!$C$6,K31=IMPACTO!$D$6),"Mayor",IF(OR(K31=IMPACTO!$C$7,K31=IMPACTO!$D$7),"Catastrófico","")))))</f>
        <v>Leve</v>
      </c>
      <c r="M31" s="42"/>
      <c r="N31" s="172" t="str">
        <f t="shared" si="43"/>
        <v>Moderado</v>
      </c>
      <c r="O31" s="27">
        <v>1</v>
      </c>
      <c r="P31" s="3" t="s">
        <v>278</v>
      </c>
      <c r="Q31" s="4" t="s">
        <v>279</v>
      </c>
      <c r="R31" s="4" t="s">
        <v>190</v>
      </c>
      <c r="S31" s="178">
        <v>45936</v>
      </c>
      <c r="T31" s="53" t="str">
        <f t="shared" si="1"/>
        <v>Probabilidad</v>
      </c>
      <c r="U31" s="51" t="s">
        <v>78</v>
      </c>
      <c r="V31" s="51" t="s">
        <v>64</v>
      </c>
      <c r="W31" s="54"/>
      <c r="X31" s="137"/>
      <c r="Y31" s="51" t="s">
        <v>65</v>
      </c>
      <c r="Z31" s="51" t="s">
        <v>66</v>
      </c>
      <c r="AA31" s="51" t="s">
        <v>67</v>
      </c>
      <c r="AB31" s="51" t="s">
        <v>68</v>
      </c>
      <c r="AC31" s="147">
        <f>+IFERROR(VLOOKUP(AB31,'Validacion de datos'!$S$2:$T$4,2,0),"")</f>
        <v>0</v>
      </c>
      <c r="AD31" s="134">
        <f t="shared" si="35"/>
        <v>0.6</v>
      </c>
      <c r="AE31" s="55" t="str">
        <f t="shared" si="36"/>
        <v>Media</v>
      </c>
      <c r="AF31" s="54">
        <f t="shared" si="37"/>
        <v>0.6</v>
      </c>
      <c r="AG31" s="55" t="str">
        <f>IFERROR(IF(AH31="","",IF(AH31&lt;=0.2,"Leve",IF(AH31&lt;=0.4,"Menor",IF(AH31&lt;=0.6,"Moderado",IF(AH31&lt;=0.8,"Mayor","Catastrófico"))))),"")</f>
        <v>Leve</v>
      </c>
      <c r="AH31" s="54">
        <f t="shared" si="7"/>
        <v>0</v>
      </c>
      <c r="AI31" s="56" t="str">
        <f>IFERROR(IF(OR(AND(AE31="Muy Baja",AG31="Leve"),AND(AE31="Muy Baja",AG31="Menor"),AND(AE31="Baja",AG31="Leve")),"Bajo",IF(OR(AND(AE31="Muy baja",AG31="Moderado"),AND(AE31="Baja",AG31="Menor"),AND(AE31="Baja",AG31="Moderado"),AND(AE31="Media",AG31="Leve"),AND(AE31="Media",AG31="Menor"),AND(AE31="Media",AG31="Moderado"),AND(AE31="Alta",AG31="Leve"),AND(AE31="Alta",AG31="Menor")),"Moderado",IF(OR(AND(AE31="Muy Baja",AG31="Mayor"),AND(AE31="Baja",AG31="Mayor"),AND(AE31="Media",AG31="Mayor"),AND(AE31="Alta",AG31="Moderado"),AND(AE31="Alta",AG31="Mayor"),AND(AE31="Muy Alta",AG31="Leve"),AND(AE31="Muy Alta",AG31="Menor"),AND(AE31="Muy Alta",AG31="Moderado"),AND(AE31="Muy Alta",AG31="Mayor")),"Alto",IF(OR(AND(AE31="Muy Baja",AG31="Catastrófico"),AND(AE31="Baja",AG31="Catastrófico"),AND(AE31="Media",AG31="Catastrófico"),AND(AE31="Alta",AG31="Catastrófico"),AND(AE31="Muy Alta",AG31="Catastrófico")),"Extremo","")))),"")</f>
        <v>Moderado</v>
      </c>
      <c r="AJ31" s="51" t="s">
        <v>101</v>
      </c>
      <c r="AK31" s="3" t="s">
        <v>280</v>
      </c>
      <c r="AL31" s="51" t="s">
        <v>70</v>
      </c>
    </row>
    <row r="32" spans="1:73" s="39" customFormat="1" ht="231" customHeight="1">
      <c r="A32" s="1">
        <v>17</v>
      </c>
      <c r="B32" s="260"/>
      <c r="C32" s="264"/>
      <c r="D32" s="152" t="s">
        <v>281</v>
      </c>
      <c r="E32" s="152" t="s">
        <v>282</v>
      </c>
      <c r="F32" s="3" t="s">
        <v>283</v>
      </c>
      <c r="G32" s="4">
        <v>100</v>
      </c>
      <c r="H32" s="40" t="str">
        <f t="shared" si="19"/>
        <v>Media</v>
      </c>
      <c r="I32" s="42">
        <f t="shared" si="8"/>
        <v>0.6</v>
      </c>
      <c r="J32" s="4" t="s">
        <v>119</v>
      </c>
      <c r="K32" s="41" t="str">
        <f>IF(NOT(ISERROR(MATCH(J32,'[1]Validacion de datos'!$H$14:$H$16,0))),'[1]Validacion de datos'!$J$16&amp;"Por favor no seleccionar los criterios de impacto(Afectación Económica o presupuestal y Pérdida Reputacional)",J32)</f>
        <v>El riesgo afecta la imagen de la entidad con algunos usuarios de relevancia frente al logro de los objetivos</v>
      </c>
      <c r="L32" s="40" t="str">
        <f>IF(OR(K32=IMPACTO!$C$3,K32=IMPACTO!$D$3),"Leve",IF(OR(K32=IMPACTO!$C$4,K32=IMPACTO!$D$4),"Menor",IF(OR(K32=IMPACTO!$C$5,K32=IMPACTO!$D$5),"Moderado",IF(OR(K32=IMPACTO!$C$6,K32=IMPACTO!$D$6),"Mayor",IF(OR(K32=IMPACTO!$C$7,K32=IMPACTO!$D$7),"Catastrófico","")))))</f>
        <v>Moderado</v>
      </c>
      <c r="M32" s="42">
        <f t="shared" si="20"/>
        <v>0.6</v>
      </c>
      <c r="N32" s="60" t="str">
        <f t="shared" si="26"/>
        <v>Moderado</v>
      </c>
      <c r="O32" s="27">
        <v>1</v>
      </c>
      <c r="P32" s="3" t="s">
        <v>284</v>
      </c>
      <c r="Q32" s="4" t="s">
        <v>268</v>
      </c>
      <c r="R32" s="4" t="s">
        <v>190</v>
      </c>
      <c r="S32" s="178">
        <v>45554</v>
      </c>
      <c r="T32" s="53" t="str">
        <f t="shared" si="1"/>
        <v>Probabilidad</v>
      </c>
      <c r="U32" s="51" t="s">
        <v>63</v>
      </c>
      <c r="V32" s="51" t="s">
        <v>64</v>
      </c>
      <c r="W32" s="54" t="str">
        <f t="shared" si="22"/>
        <v>30%</v>
      </c>
      <c r="X32" s="137">
        <f t="shared" si="10"/>
        <v>-0.19999999999999998</v>
      </c>
      <c r="Y32" s="51" t="s">
        <v>65</v>
      </c>
      <c r="Z32" s="51" t="s">
        <v>66</v>
      </c>
      <c r="AA32" s="51" t="s">
        <v>67</v>
      </c>
      <c r="AB32" s="51" t="s">
        <v>83</v>
      </c>
      <c r="AC32" s="147">
        <f>+IFERROR(VLOOKUP(AB32,'Validacion de datos'!$S$2:$T$4,2,0),"")</f>
        <v>0.1</v>
      </c>
      <c r="AD32" s="134">
        <f t="shared" si="35"/>
        <v>0.42</v>
      </c>
      <c r="AE32" s="55" t="str">
        <f t="shared" si="4"/>
        <v>Media</v>
      </c>
      <c r="AF32" s="54">
        <f t="shared" si="23"/>
        <v>0.42</v>
      </c>
      <c r="AG32" s="55" t="str">
        <f t="shared" si="24"/>
        <v>Moderado</v>
      </c>
      <c r="AH32" s="54">
        <f t="shared" si="7"/>
        <v>0.6</v>
      </c>
      <c r="AI32" s="56" t="str">
        <f t="shared" si="25"/>
        <v>Moderado</v>
      </c>
      <c r="AJ32" s="51" t="s">
        <v>101</v>
      </c>
      <c r="AK32" s="3" t="s">
        <v>280</v>
      </c>
      <c r="AL32" s="51" t="s">
        <v>70</v>
      </c>
    </row>
    <row r="33" spans="1:42" s="39" customFormat="1" ht="91.15" customHeight="1">
      <c r="A33" s="259">
        <v>18</v>
      </c>
      <c r="B33" s="259" t="s">
        <v>143</v>
      </c>
      <c r="C33" s="257" t="str">
        <f>+IFERROR(VLOOKUP(B33,'Validacion de datos'!A:B,2,0),"")</f>
        <v>Evaluar de forma independiente y objetiva la gestión de los procesos institucionales, a través de seguimientos y auditorías que permitan generar alertas tempranas que contribuyan al mejoramiento continuo en la gestión de la Entidad de acuerdo con el plan anual de auditorías.</v>
      </c>
      <c r="D33" s="257" t="s">
        <v>285</v>
      </c>
      <c r="E33" s="354" t="s">
        <v>286</v>
      </c>
      <c r="F33" s="354" t="s">
        <v>287</v>
      </c>
      <c r="G33" s="4">
        <v>66</v>
      </c>
      <c r="H33" s="40" t="str">
        <f t="shared" si="19"/>
        <v>Media</v>
      </c>
      <c r="I33" s="42">
        <f t="shared" si="8"/>
        <v>0.6</v>
      </c>
      <c r="J33" s="4" t="s">
        <v>119</v>
      </c>
      <c r="K33" s="41" t="str">
        <f>IF(NOT(ISERROR(MATCH(J33,'[1]Validacion de datos'!$H$14:$H$16,0))),'[1]Validacion de datos'!$J$16&amp;"Por favor no seleccionar los criterios de impacto(Afectación Económica o presupuestal y Pérdida Reputacional)",J33)</f>
        <v>El riesgo afecta la imagen de la entidad con algunos usuarios de relevancia frente al logro de los objetivos</v>
      </c>
      <c r="L33" s="265" t="str">
        <f>IF(OR(K33=IMPACTO!$C$3,K33=IMPACTO!$D$3),"Leve",IF(OR(K33=IMPACTO!$C$4,K33=IMPACTO!$D$4),"Menor",IF(OR(K33=IMPACTO!$C$5,K33=IMPACTO!$D$5),"Moderado",IF(OR(K33=IMPACTO!$C$6,K33=IMPACTO!$D$6),"Mayor",IF(OR(K33=IMPACTO!$C$7,K33=IMPACTO!$D$7),"Catastrófico","")))))</f>
        <v>Moderado</v>
      </c>
      <c r="M33" s="269">
        <f>IF(L33="","",IF(L33="Leve",0.2,IF(L33="Menor",0.4,IF(L33="Moderado",0.6,IF(L33="Mayor",0.8,IF(L33="Catastrófico",1,))))))</f>
        <v>0.6</v>
      </c>
      <c r="N33" s="267" t="str">
        <f t="shared" si="26"/>
        <v>Moderado</v>
      </c>
      <c r="O33" s="27">
        <v>1</v>
      </c>
      <c r="P33" s="173" t="s">
        <v>288</v>
      </c>
      <c r="Q33" s="4" t="s">
        <v>289</v>
      </c>
      <c r="R33" s="4" t="s">
        <v>190</v>
      </c>
      <c r="S33" s="178">
        <v>45554</v>
      </c>
      <c r="T33" s="53" t="str">
        <f t="shared" si="1"/>
        <v>Probabilidad</v>
      </c>
      <c r="U33" s="51" t="s">
        <v>78</v>
      </c>
      <c r="V33" s="51" t="s">
        <v>64</v>
      </c>
      <c r="W33" s="54" t="str">
        <f t="shared" si="22"/>
        <v>40%</v>
      </c>
      <c r="X33" s="137">
        <f t="shared" si="10"/>
        <v>-0.4</v>
      </c>
      <c r="Y33" s="51" t="s">
        <v>65</v>
      </c>
      <c r="Z33" s="51" t="s">
        <v>66</v>
      </c>
      <c r="AA33" s="51" t="s">
        <v>67</v>
      </c>
      <c r="AB33" s="51" t="s">
        <v>68</v>
      </c>
      <c r="AC33" s="147">
        <f>+IFERROR(VLOOKUP(AB33,'Validacion de datos'!$S$2:$T$4,2,0),"")</f>
        <v>0</v>
      </c>
      <c r="AD33" s="134">
        <f t="shared" si="35"/>
        <v>0.36</v>
      </c>
      <c r="AE33" s="358" t="str">
        <f t="shared" si="4"/>
        <v>Baja</v>
      </c>
      <c r="AF33" s="54">
        <f t="shared" si="23"/>
        <v>0.36</v>
      </c>
      <c r="AG33" s="358" t="str">
        <f t="shared" si="24"/>
        <v>Moderado</v>
      </c>
      <c r="AH33" s="54">
        <f t="shared" si="7"/>
        <v>0.6</v>
      </c>
      <c r="AI33" s="359" t="str">
        <f t="shared" si="25"/>
        <v>Moderado</v>
      </c>
      <c r="AJ33" s="363" t="s">
        <v>101</v>
      </c>
      <c r="AK33" s="3" t="s">
        <v>280</v>
      </c>
      <c r="AL33" s="363" t="s">
        <v>70</v>
      </c>
    </row>
    <row r="34" spans="1:42" s="39" customFormat="1" ht="112.15" customHeight="1">
      <c r="A34" s="260"/>
      <c r="B34" s="260"/>
      <c r="C34" s="258"/>
      <c r="D34" s="258"/>
      <c r="E34" s="355"/>
      <c r="F34" s="355"/>
      <c r="G34" s="4">
        <v>66</v>
      </c>
      <c r="H34" s="40" t="str">
        <f t="shared" si="19"/>
        <v>Media</v>
      </c>
      <c r="I34" s="42">
        <f t="shared" si="8"/>
        <v>0.6</v>
      </c>
      <c r="J34" s="4" t="s">
        <v>119</v>
      </c>
      <c r="K34" s="41" t="str">
        <f>IF(NOT(ISERROR(MATCH(J34,'[1]Validacion de datos'!$H$14:$H$16,0))),'[1]Validacion de datos'!$J$16&amp;"Por favor no seleccionar los criterios de impacto(Afectación Económica o presupuestal y Pérdida Reputacional)",J34)</f>
        <v>El riesgo afecta la imagen de la entidad con algunos usuarios de relevancia frente al logro de los objetivos</v>
      </c>
      <c r="L34" s="266"/>
      <c r="M34" s="270"/>
      <c r="N34" s="268"/>
      <c r="O34" s="27">
        <v>2</v>
      </c>
      <c r="P34" s="174" t="s">
        <v>290</v>
      </c>
      <c r="Q34" s="4" t="s">
        <v>289</v>
      </c>
      <c r="R34" s="4" t="s">
        <v>190</v>
      </c>
      <c r="S34" s="178">
        <v>45554</v>
      </c>
      <c r="T34" s="53" t="str">
        <f t="shared" si="1"/>
        <v>Probabilidad</v>
      </c>
      <c r="U34" s="51" t="s">
        <v>78</v>
      </c>
      <c r="V34" s="51" t="s">
        <v>64</v>
      </c>
      <c r="W34" s="54" t="str">
        <f t="shared" si="22"/>
        <v>40%</v>
      </c>
      <c r="X34" s="137">
        <f t="shared" si="10"/>
        <v>-0.4</v>
      </c>
      <c r="Y34" s="51" t="s">
        <v>65</v>
      </c>
      <c r="Z34" s="51" t="s">
        <v>66</v>
      </c>
      <c r="AA34" s="51" t="s">
        <v>67</v>
      </c>
      <c r="AB34" s="51" t="s">
        <v>68</v>
      </c>
      <c r="AC34" s="147">
        <f>+IFERROR(VLOOKUP(AB34,'Validacion de datos'!$S$2:$T$4,2,0),"")</f>
        <v>0</v>
      </c>
      <c r="AD34" s="134">
        <f t="shared" si="35"/>
        <v>0.36</v>
      </c>
      <c r="AE34" s="357"/>
      <c r="AF34" s="54">
        <f t="shared" si="23"/>
        <v>0.36</v>
      </c>
      <c r="AG34" s="357"/>
      <c r="AH34" s="54">
        <f t="shared" si="7"/>
        <v>0</v>
      </c>
      <c r="AI34" s="360"/>
      <c r="AJ34" s="362"/>
      <c r="AK34" s="3" t="s">
        <v>280</v>
      </c>
      <c r="AL34" s="362"/>
    </row>
    <row r="35" spans="1:42" ht="63" customHeight="1">
      <c r="A35" s="1">
        <v>19</v>
      </c>
      <c r="B35" s="183" t="s">
        <v>130</v>
      </c>
      <c r="C35" s="188" t="str">
        <f>+IFERROR(VLOOKUP(B35,'Validacion de datos'!A:B,2,0),"")</f>
        <v>Administrar los recursos financieros de forma eficaz y eficiente para cumplir con las obligaciones de la Entidad en los diferentes procesos, respondiendo oportunamente a los requerimientos de los grupos de valor.</v>
      </c>
      <c r="D35" s="184" t="s">
        <v>291</v>
      </c>
      <c r="E35" s="185" t="s">
        <v>292</v>
      </c>
      <c r="F35" s="2" t="s">
        <v>293</v>
      </c>
      <c r="G35" s="4">
        <v>1250</v>
      </c>
      <c r="H35" s="40" t="str">
        <f t="shared" si="19"/>
        <v>Alta</v>
      </c>
      <c r="I35" s="42">
        <f t="shared" si="8"/>
        <v>0.8</v>
      </c>
      <c r="J35" s="4" t="s">
        <v>122</v>
      </c>
      <c r="K35" s="41" t="str">
        <f>IF(NOT(ISERROR(MATCH(J35,'[1]Validacion de datos'!$H$14:$H$16,0))),'[1]Validacion de datos'!$J$16&amp;"Por favor no seleccionar los criterios de impacto(Afectación Económica o presupuestal y Pérdida Reputacional)",J35)</f>
        <v>El riesgo afecta la imagen de de la entidad con efecto publicitario sostenido a nivel de sector administrativo, nivel departamental o municipal</v>
      </c>
      <c r="L35" s="40" t="str">
        <f>IF(OR(K35=IMPACTO!$C$3,K35=IMPACTO!$D$3),"Leve",IF(OR(K35=IMPACTO!$C$4,K35=IMPACTO!$D$4),"Menor",IF(OR(K35=IMPACTO!$C$5,K35=IMPACTO!$D$5),"Moderado",IF(OR(K35=IMPACTO!$C$6,K35=IMPACTO!$D$6),"Mayor",IF(OR(K35=IMPACTO!$C$7,K35=IMPACTO!$D$7),"Catastrófico","")))))</f>
        <v>Mayor</v>
      </c>
      <c r="M35" s="42">
        <f t="shared" si="20"/>
        <v>0.8</v>
      </c>
      <c r="N35" s="60" t="str">
        <f t="shared" si="26"/>
        <v>Alto</v>
      </c>
      <c r="O35" s="27">
        <v>1</v>
      </c>
      <c r="P35" s="28" t="s">
        <v>294</v>
      </c>
      <c r="Q35" s="186" t="s">
        <v>295</v>
      </c>
      <c r="R35" s="5" t="s">
        <v>190</v>
      </c>
      <c r="S35" s="187">
        <v>45860</v>
      </c>
      <c r="T35" s="53" t="str">
        <f t="shared" si="1"/>
        <v>Probabilidad</v>
      </c>
      <c r="U35" s="51" t="s">
        <v>78</v>
      </c>
      <c r="V35" s="51" t="s">
        <v>64</v>
      </c>
      <c r="W35" s="54" t="str">
        <f t="shared" si="22"/>
        <v>40%</v>
      </c>
      <c r="X35" s="137">
        <f t="shared" si="10"/>
        <v>-0.4</v>
      </c>
      <c r="Y35" s="51" t="s">
        <v>80</v>
      </c>
      <c r="Z35" s="51" t="s">
        <v>81</v>
      </c>
      <c r="AA35" s="51" t="s">
        <v>67</v>
      </c>
      <c r="AB35" s="51" t="s">
        <v>68</v>
      </c>
      <c r="AC35" s="147">
        <f>+IFERROR(VLOOKUP(AB35,'Validacion de datos'!$S$2:$T$4,2,0),"")</f>
        <v>0</v>
      </c>
      <c r="AD35" s="134">
        <f t="shared" si="35"/>
        <v>0.48</v>
      </c>
      <c r="AE35" s="55" t="str">
        <f t="shared" si="4"/>
        <v>Media</v>
      </c>
      <c r="AF35" s="54">
        <f t="shared" si="23"/>
        <v>0.48</v>
      </c>
      <c r="AG35" s="55" t="str">
        <f t="shared" si="24"/>
        <v>Mayor</v>
      </c>
      <c r="AH35" s="54">
        <f t="shared" si="7"/>
        <v>0.8</v>
      </c>
      <c r="AI35" s="56" t="str">
        <f t="shared" si="25"/>
        <v>Alto</v>
      </c>
      <c r="AJ35" s="51" t="s">
        <v>69</v>
      </c>
      <c r="AK35" s="3" t="s">
        <v>224</v>
      </c>
      <c r="AL35" s="51" t="s">
        <v>70</v>
      </c>
      <c r="AM35" s="39"/>
      <c r="AN35" s="39"/>
      <c r="AO35" s="39"/>
      <c r="AP35" s="39"/>
    </row>
    <row r="36" spans="1:42" ht="124.5" customHeight="1">
      <c r="A36" s="1">
        <v>20</v>
      </c>
      <c r="B36" s="183" t="s">
        <v>128</v>
      </c>
      <c r="C36" s="198" t="str">
        <f>+IFERROR(VLOOKUP(B36,'Validacion de datos'!A:B,2,0),"")</f>
        <v>Diseñar y administrar el Sistema de gestión de seguridad y salud en el trabajo de la Empresa de Vivienda de Antioquia, mediante la ejecución de estrategias y métodos que permitan proteger la salud y la seguridad de todos los trabajadores, mediante la mejora continua, el control y monitoreo del mismo, asegurando el cumplimiento legal y el adecuado desempeño del SGSST.</v>
      </c>
      <c r="D36" s="184" t="s">
        <v>296</v>
      </c>
      <c r="E36" s="185" t="s">
        <v>297</v>
      </c>
      <c r="F36" s="2" t="s">
        <v>298</v>
      </c>
      <c r="G36" s="5">
        <v>2</v>
      </c>
      <c r="H36" s="40" t="str">
        <f t="shared" si="19"/>
        <v>Muy Baja</v>
      </c>
      <c r="I36" s="42">
        <f t="shared" si="8"/>
        <v>0.2</v>
      </c>
      <c r="J36" s="4" t="s">
        <v>112</v>
      </c>
      <c r="K36" s="41" t="str">
        <f>IF(NOT(ISERROR(MATCH(J36,'[1]Validacion de datos'!$H$14:$H$16,0))),'[1]Validacion de datos'!$J$16&amp;"Por favor no seleccionar los criterios de impacto(Afectación Económica o presupuestal y Pérdida Reputacional)",J36)</f>
        <v>El riesgo afecta la imagen de alguna área de la organización</v>
      </c>
      <c r="L36" s="40" t="str">
        <f>IF(OR(K36=IMPACTO!$C$3,K36=IMPACTO!$D$3),"Leve",IF(OR(K36=IMPACTO!$C$4,K36=IMPACTO!$D$4),"Menor",IF(OR(K36=IMPACTO!$C$5,K36=IMPACTO!$D$5),"Moderado",IF(OR(K36=IMPACTO!$C$6,K36=IMPACTO!$D$6),"Mayor",IF(OR(K36=IMPACTO!$C$7,K36=IMPACTO!$D$7),"Catastrófico","")))))</f>
        <v>Leve</v>
      </c>
      <c r="M36" s="42">
        <f t="shared" si="20"/>
        <v>0.2</v>
      </c>
      <c r="N36" s="60" t="str">
        <f t="shared" si="26"/>
        <v>Bajo</v>
      </c>
      <c r="O36" s="57">
        <v>1</v>
      </c>
      <c r="P36" s="145" t="s">
        <v>299</v>
      </c>
      <c r="Q36" s="2" t="s">
        <v>300</v>
      </c>
      <c r="R36" s="5" t="s">
        <v>190</v>
      </c>
      <c r="S36" s="187">
        <v>45867</v>
      </c>
      <c r="T36" s="53" t="str">
        <f t="shared" si="1"/>
        <v>Probabilidad</v>
      </c>
      <c r="U36" s="51" t="s">
        <v>78</v>
      </c>
      <c r="V36" s="51" t="s">
        <v>64</v>
      </c>
      <c r="W36" s="54" t="str">
        <f t="shared" si="22"/>
        <v>40%</v>
      </c>
      <c r="X36" s="137"/>
      <c r="Y36" s="51" t="s">
        <v>65</v>
      </c>
      <c r="Z36" s="51" t="s">
        <v>66</v>
      </c>
      <c r="AA36" s="147" t="s">
        <v>67</v>
      </c>
      <c r="AB36" s="51" t="s">
        <v>68</v>
      </c>
      <c r="AC36" s="147">
        <f>+IFERROR(VLOOKUP(AB36,'Validacion de datos'!$S$2:$T$4,2,0),"")</f>
        <v>0</v>
      </c>
      <c r="AD36" s="134">
        <f t="shared" si="35"/>
        <v>0.12</v>
      </c>
      <c r="AE36" s="55" t="str">
        <f t="shared" si="4"/>
        <v>Muy Baja</v>
      </c>
      <c r="AF36" s="54">
        <f t="shared" si="23"/>
        <v>0.12</v>
      </c>
      <c r="AG36" s="55" t="str">
        <f t="shared" si="24"/>
        <v>Leve</v>
      </c>
      <c r="AH36" s="54">
        <f t="shared" si="7"/>
        <v>0.2</v>
      </c>
      <c r="AI36" s="56" t="str">
        <f t="shared" si="25"/>
        <v>Bajo</v>
      </c>
      <c r="AJ36" s="51" t="s">
        <v>101</v>
      </c>
      <c r="AK36" s="3" t="s">
        <v>301</v>
      </c>
      <c r="AL36" s="163" t="s">
        <v>70</v>
      </c>
      <c r="AM36" s="197"/>
    </row>
    <row r="37" spans="1:42" ht="112.5" customHeight="1">
      <c r="A37" s="191">
        <v>21</v>
      </c>
      <c r="B37" s="336" t="s">
        <v>95</v>
      </c>
      <c r="C37" s="338" t="str">
        <f>+IFERROR(VLOOKUP(B37,'Validacion de datos'!A:B,2,0),"")</f>
        <v>Liderar y gestionar la estrategia de comunicaciones y relaciones públicas de VIVA, con sus públicos de interés,  para reposicionar a la entidad como la empresa de vivienda de los antioqueños, contribuyendo a mejorar la satisfacción del ciudadano con una adecuada atención, a través de información efectiva con alianzas estratégicas, soportadas en la empatía, el rigor técnico y las capacidades individuales y colectivas.</v>
      </c>
      <c r="D37" s="189" t="s">
        <v>302</v>
      </c>
      <c r="E37" s="189" t="s">
        <v>303</v>
      </c>
      <c r="F37" s="189" t="s">
        <v>304</v>
      </c>
      <c r="G37" s="192">
        <f>365*2</f>
        <v>730</v>
      </c>
      <c r="H37" s="40" t="str">
        <f t="shared" si="19"/>
        <v>Alta</v>
      </c>
      <c r="I37" s="42">
        <f t="shared" si="8"/>
        <v>0.8</v>
      </c>
      <c r="J37" s="189" t="s">
        <v>122</v>
      </c>
      <c r="K37" s="41" t="str">
        <f>IF(NOT(ISERROR(MATCH(J37,'[1]Validacion de datos'!$H$14:$H$16,0))),'[1]Validacion de datos'!$J$16&amp;"Por favor no seleccionar los criterios de impacto(Afectación Económica o presupuestal y Pérdida Reputacional)",J37)</f>
        <v>El riesgo afecta la imagen de de la entidad con efecto publicitario sostenido a nivel de sector administrativo, nivel departamental o municipal</v>
      </c>
      <c r="L37" s="40" t="str">
        <f>IF(OR(K37=IMPACTO!$C$3,K37=IMPACTO!$D$3),"Leve",IF(OR(K37=IMPACTO!$C$4,K37=IMPACTO!$D$4),"Menor",IF(OR(K37=IMPACTO!$C$5,K37=IMPACTO!$D$5),"Moderado",IF(OR(K37=IMPACTO!$C$6,K37=IMPACTO!$D$6),"Mayor",IF(OR(K37=IMPACTO!$C$7,K37=IMPACTO!$D$7),"Catastrófico","")))))</f>
        <v>Mayor</v>
      </c>
      <c r="M37" s="42">
        <f t="shared" si="20"/>
        <v>0.8</v>
      </c>
      <c r="N37" s="60" t="str">
        <f t="shared" si="26"/>
        <v>Alto</v>
      </c>
      <c r="O37" s="193">
        <v>1</v>
      </c>
      <c r="P37" s="189" t="s">
        <v>305</v>
      </c>
      <c r="Q37" s="189" t="s">
        <v>306</v>
      </c>
      <c r="R37" s="192" t="s">
        <v>307</v>
      </c>
      <c r="S37" s="194">
        <v>45902</v>
      </c>
      <c r="T37" s="53" t="str">
        <f>IF(OR(U37="Preventivo",U37="Detectivo"),"Probabilidad",IF(U37="Correctivo","Impacto",""))</f>
        <v>Probabilidad</v>
      </c>
      <c r="U37" s="51" t="s">
        <v>78</v>
      </c>
      <c r="V37" s="51" t="s">
        <v>64</v>
      </c>
      <c r="W37" s="54" t="str">
        <f>IF(AND(U37="Preventivo",V37="Automática"),"50%",IF(AND(U37="Preventivo",V37="Manual"),"40%",IF(AND(U37="Detectivo",V37="Automática"),"40%",IF(AND(U37="Detectivo",V37="Manual"),"30%",IF(AND(U37="Correctivo",V37="Automática"),"35%",IF(AND(U37="Correctivo",V37="Manual"),"25%",""))))))</f>
        <v>40%</v>
      </c>
      <c r="X37" s="190" t="s">
        <v>308</v>
      </c>
      <c r="Y37" s="51" t="s">
        <v>65</v>
      </c>
      <c r="Z37" s="51" t="s">
        <v>81</v>
      </c>
      <c r="AA37" s="147" t="s">
        <v>82</v>
      </c>
      <c r="AB37" s="51" t="s">
        <v>68</v>
      </c>
      <c r="AC37" s="147">
        <f>+IFERROR(VLOOKUP(AB37,'Validacion de datos'!$S$2:$T$4,2,0),"")</f>
        <v>0</v>
      </c>
      <c r="AD37" s="134">
        <f t="shared" si="35"/>
        <v>0.48</v>
      </c>
      <c r="AE37" s="55" t="str">
        <f t="shared" si="4"/>
        <v>Media</v>
      </c>
      <c r="AF37" s="54">
        <f t="shared" si="23"/>
        <v>0.48</v>
      </c>
      <c r="AG37" s="55" t="str">
        <f t="shared" si="24"/>
        <v>Mayor</v>
      </c>
      <c r="AH37" s="54">
        <f t="shared" si="7"/>
        <v>0.8</v>
      </c>
      <c r="AI37" s="56" t="str">
        <f t="shared" si="25"/>
        <v>Alto</v>
      </c>
      <c r="AJ37" s="51" t="s">
        <v>69</v>
      </c>
      <c r="AK37" s="3" t="s">
        <v>224</v>
      </c>
      <c r="AL37" s="163" t="s">
        <v>70</v>
      </c>
      <c r="AM37" s="195"/>
    </row>
    <row r="38" spans="1:42" ht="141.75">
      <c r="A38" s="131">
        <v>22</v>
      </c>
      <c r="B38" s="337"/>
      <c r="C38" s="339"/>
      <c r="D38" s="201" t="s">
        <v>309</v>
      </c>
      <c r="E38" s="201" t="s">
        <v>310</v>
      </c>
      <c r="F38" s="201" t="s">
        <v>304</v>
      </c>
      <c r="G38" s="202">
        <f>365*2</f>
        <v>730</v>
      </c>
      <c r="H38" s="64" t="str">
        <f t="shared" si="19"/>
        <v>Alta</v>
      </c>
      <c r="I38" s="65">
        <f t="shared" si="8"/>
        <v>0.8</v>
      </c>
      <c r="J38" s="59" t="s">
        <v>122</v>
      </c>
      <c r="K38" s="66" t="str">
        <f>IF(NOT(ISERROR(MATCH(J38,'[1]Validacion de datos'!$H$14:$H$16,0))),'[1]Validacion de datos'!$J$16&amp;"Por favor no seleccionar los criterios de impacto(Afectación Económica o presupuestal y Pérdida Reputacional)",J38)</f>
        <v>El riesgo afecta la imagen de de la entidad con efecto publicitario sostenido a nivel de sector administrativo, nivel departamental o municipal</v>
      </c>
      <c r="L38" s="64" t="str">
        <f>IF(OR(K38=IMPACTO!$C$3,K38=IMPACTO!$D$3),"Leve",IF(OR(K38=IMPACTO!$C$4,K38=IMPACTO!$D$4),"Menor",IF(OR(K38=IMPACTO!$C$5,K38=IMPACTO!$D$5),"Moderado",IF(OR(K38=IMPACTO!$C$6,K38=IMPACTO!$D$6),"Mayor",IF(OR(K38=IMPACTO!$C$7,K38=IMPACTO!$D$7),"Catastrófico","")))))</f>
        <v>Mayor</v>
      </c>
      <c r="M38" s="65">
        <f t="shared" si="20"/>
        <v>0.8</v>
      </c>
      <c r="N38" s="67" t="str">
        <f t="shared" si="26"/>
        <v>Alto</v>
      </c>
      <c r="O38" s="203">
        <v>1</v>
      </c>
      <c r="P38" s="201" t="s">
        <v>311</v>
      </c>
      <c r="Q38" s="201" t="s">
        <v>306</v>
      </c>
      <c r="R38" s="202" t="s">
        <v>307</v>
      </c>
      <c r="S38" s="204">
        <v>45902</v>
      </c>
      <c r="T38" s="53" t="str">
        <f t="shared" si="1"/>
        <v>Impacto</v>
      </c>
      <c r="U38" s="51" t="s">
        <v>92</v>
      </c>
      <c r="V38" s="51" t="s">
        <v>64</v>
      </c>
      <c r="W38" s="54" t="str">
        <f t="shared" si="22"/>
        <v>25%</v>
      </c>
      <c r="X38" s="136">
        <f t="shared" si="10"/>
        <v>-0.25</v>
      </c>
      <c r="Y38" s="51" t="s">
        <v>80</v>
      </c>
      <c r="Z38" s="51" t="s">
        <v>81</v>
      </c>
      <c r="AA38" s="147" t="s">
        <v>82</v>
      </c>
      <c r="AB38" s="51" t="s">
        <v>68</v>
      </c>
      <c r="AC38" s="147">
        <f>+IFERROR(VLOOKUP(AB38,'Validacion de datos'!$S$2:$T$4,2,0),"")</f>
        <v>0</v>
      </c>
      <c r="AD38" s="134">
        <f t="shared" si="35"/>
        <v>0.8</v>
      </c>
      <c r="AE38" s="55" t="str">
        <f t="shared" si="4"/>
        <v>Alta</v>
      </c>
      <c r="AF38" s="54">
        <f t="shared" si="23"/>
        <v>0.8</v>
      </c>
      <c r="AG38" s="55" t="str">
        <f t="shared" si="24"/>
        <v>Moderado</v>
      </c>
      <c r="AH38" s="54">
        <f t="shared" si="7"/>
        <v>0.60000000000000009</v>
      </c>
      <c r="AI38" s="56" t="str">
        <f t="shared" si="25"/>
        <v>Alto</v>
      </c>
      <c r="AJ38" s="51" t="s">
        <v>69</v>
      </c>
      <c r="AK38" s="3" t="s">
        <v>224</v>
      </c>
      <c r="AL38" s="163" t="s">
        <v>70</v>
      </c>
      <c r="AM38" s="205"/>
    </row>
    <row r="39" spans="1:42" ht="104.25" customHeight="1">
      <c r="A39" s="208">
        <v>23</v>
      </c>
      <c r="B39" s="209" t="s">
        <v>102</v>
      </c>
      <c r="C39" s="210" t="str">
        <f>+IFERROR(VLOOKUP(B39,'Validacion de datos'!A:B,2,0),"")</f>
        <v>Diagnosticar, estructurar, formular, asesorar y acompañar los proyectos de Vivienda y Hábitat de la Empresa de Vivienda de Antioquia-VIVA, aplicando aprendizajes adquiridos mediante diversas herramientas de investigación  velando así por la innovación, la sostenibilidad, la gestión socio cultural y la integración de los proyectos en los territorios y las comunidades, para el cumplimiento de la misión de la Entidad respondiendo a los ODS.</v>
      </c>
      <c r="D39" s="210" t="s">
        <v>312</v>
      </c>
      <c r="E39" s="210" t="s">
        <v>313</v>
      </c>
      <c r="F39" s="210" t="s">
        <v>314</v>
      </c>
      <c r="G39" s="211">
        <v>50</v>
      </c>
      <c r="H39" s="212" t="str">
        <f t="shared" si="19"/>
        <v>Media</v>
      </c>
      <c r="I39" s="213">
        <f t="shared" si="8"/>
        <v>0.6</v>
      </c>
      <c r="J39" s="214" t="s">
        <v>119</v>
      </c>
      <c r="K39" s="215" t="str">
        <f>IF(NOT(ISERROR(MATCH(J39,'[1]Validacion de datos'!$H$14:$H$16,0))),'[1]Validacion de datos'!$J$16&amp;"Por favor no seleccionar los criterios de impacto(Afectación Económica o presupuestal y Pérdida Reputacional)",J39)</f>
        <v>El riesgo afecta la imagen de la entidad con algunos usuarios de relevancia frente al logro de los objetivos</v>
      </c>
      <c r="L39" s="212" t="str">
        <f>IF(OR(K39=IMPACTO!$C$3,K39=IMPACTO!$D$3),"Leve",IF(OR(K39=IMPACTO!$C$4,K39=IMPACTO!$D$4),"Menor",IF(OR(K39=IMPACTO!$C$5,K39=IMPACTO!$D$5),"Moderado",IF(OR(K39=IMPACTO!$C$6,K39=IMPACTO!$D$6),"Mayor",IF(OR(K39=IMPACTO!$C$7,K39=IMPACTO!$D$7),"Catastrófico","")))))</f>
        <v>Moderado</v>
      </c>
      <c r="M39" s="213">
        <f t="shared" si="20"/>
        <v>0.6</v>
      </c>
      <c r="N39" s="216" t="str">
        <f t="shared" si="26"/>
        <v>Moderado</v>
      </c>
      <c r="O39" s="217">
        <v>1</v>
      </c>
      <c r="P39" s="218" t="s">
        <v>315</v>
      </c>
      <c r="Q39" s="218" t="s">
        <v>316</v>
      </c>
      <c r="R39" s="211" t="s">
        <v>317</v>
      </c>
      <c r="S39" s="219">
        <v>45945</v>
      </c>
      <c r="T39" s="53" t="str">
        <f t="shared" si="1"/>
        <v>Probabilidad</v>
      </c>
      <c r="U39" s="51" t="s">
        <v>78</v>
      </c>
      <c r="V39" s="51" t="s">
        <v>64</v>
      </c>
      <c r="W39" s="54" t="str">
        <f t="shared" si="22"/>
        <v>40%</v>
      </c>
      <c r="X39" s="136">
        <f t="shared" si="10"/>
        <v>-0.4</v>
      </c>
      <c r="Y39" s="51" t="s">
        <v>65</v>
      </c>
      <c r="Z39" s="51" t="s">
        <v>66</v>
      </c>
      <c r="AA39" s="147" t="s">
        <v>67</v>
      </c>
      <c r="AB39" s="51" t="s">
        <v>68</v>
      </c>
      <c r="AC39" s="147">
        <f>+IFERROR(VLOOKUP(AB39,'Validacion de datos'!$S$2:$T$4,2,0),"")</f>
        <v>0</v>
      </c>
      <c r="AD39" s="134">
        <f t="shared" si="35"/>
        <v>0.36</v>
      </c>
      <c r="AE39" s="55" t="str">
        <f t="shared" si="4"/>
        <v>Baja</v>
      </c>
      <c r="AF39" s="54">
        <f t="shared" si="23"/>
        <v>0.36</v>
      </c>
      <c r="AG39" s="55" t="str">
        <f t="shared" si="24"/>
        <v>Moderado</v>
      </c>
      <c r="AH39" s="54">
        <f t="shared" si="7"/>
        <v>0.6</v>
      </c>
      <c r="AI39" s="56" t="str">
        <f t="shared" si="25"/>
        <v>Moderado</v>
      </c>
      <c r="AJ39" s="51" t="s">
        <v>101</v>
      </c>
      <c r="AK39" s="3" t="s">
        <v>318</v>
      </c>
      <c r="AL39" s="163" t="s">
        <v>70</v>
      </c>
      <c r="AM39" s="220"/>
    </row>
    <row r="40" spans="1:42" ht="108.75" customHeight="1">
      <c r="A40" s="206">
        <v>24</v>
      </c>
      <c r="B40" s="199" t="s">
        <v>141</v>
      </c>
      <c r="C40" s="200" t="str">
        <f>+IFERROR(VLOOKUP(B40,'Validacion de datos'!A:B,2,0),"")</f>
        <v>Fortalecer la confidencialidad, la integridad y disponibilidad de la información, mediante procedimientos, lineamientos y herramientas tecnológicas que generen cumplimiento y apoyo a los demás procesos de la entidad, enfocando los esfuerzos en la generación de cultura y cuidado de la seguridad informática</v>
      </c>
      <c r="D40" s="200" t="s">
        <v>319</v>
      </c>
      <c r="E40" s="200" t="s">
        <v>320</v>
      </c>
      <c r="F40" s="200" t="s">
        <v>321</v>
      </c>
      <c r="G40" s="221">
        <v>360</v>
      </c>
      <c r="H40" s="222" t="str">
        <f t="shared" si="19"/>
        <v>Media</v>
      </c>
      <c r="I40" s="223">
        <f t="shared" si="8"/>
        <v>0.6</v>
      </c>
      <c r="J40" s="224" t="s">
        <v>116</v>
      </c>
      <c r="K40" s="225" t="str">
        <f>IF(NOT(ISERROR(MATCH(J40,'[1]Validacion de datos'!$H$14:$H$16,0))),'[1]Validacion de datos'!$J$16&amp;"Por favor no seleccionar los criterios de impacto(Afectación Económica o presupuestal y Pérdida Reputacional)",J40)</f>
        <v>El riesgo afecta la imagen de la entidad internamente, de conocimiento general, nivel interno, de junta dircetiva y accionistas y/o de provedores</v>
      </c>
      <c r="L40" s="222" t="str">
        <f>IF(OR(K40=IMPACTO!$C$3,K40=IMPACTO!$D$3),"Leve",IF(OR(K40=IMPACTO!$C$4,K40=IMPACTO!$D$4),"Menor",IF(OR(K40=IMPACTO!$C$5,K40=IMPACTO!$D$5),"Moderado",IF(OR(K40=IMPACTO!$C$6,K40=IMPACTO!$D$6),"Mayor",IF(OR(K40=IMPACTO!$C$7,K40=IMPACTO!$D$7),"Catastrófico","")))))</f>
        <v>Menor</v>
      </c>
      <c r="M40" s="223">
        <f t="shared" si="20"/>
        <v>0.4</v>
      </c>
      <c r="N40" s="226" t="str">
        <f t="shared" si="26"/>
        <v>Moderado</v>
      </c>
      <c r="O40" s="221">
        <v>1</v>
      </c>
      <c r="P40" s="207" t="s">
        <v>322</v>
      </c>
      <c r="Q40" s="227" t="s">
        <v>323</v>
      </c>
      <c r="R40" s="228" t="s">
        <v>190</v>
      </c>
      <c r="S40" s="229">
        <v>45953</v>
      </c>
      <c r="T40" s="53" t="str">
        <f t="shared" si="1"/>
        <v>Impacto</v>
      </c>
      <c r="U40" s="51" t="s">
        <v>92</v>
      </c>
      <c r="V40" s="51" t="s">
        <v>64</v>
      </c>
      <c r="W40" s="54" t="str">
        <f t="shared" si="22"/>
        <v>25%</v>
      </c>
      <c r="X40" s="136">
        <f t="shared" si="10"/>
        <v>-0.25</v>
      </c>
      <c r="Y40" s="51" t="s">
        <v>65</v>
      </c>
      <c r="Z40" s="51" t="s">
        <v>66</v>
      </c>
      <c r="AA40" s="147" t="s">
        <v>67</v>
      </c>
      <c r="AB40" s="51" t="s">
        <v>68</v>
      </c>
      <c r="AC40" s="147">
        <f>+IFERROR(VLOOKUP(AB40,'Validacion de datos'!$S$2:$T$4,2,0),"")</f>
        <v>0</v>
      </c>
      <c r="AD40" s="134">
        <f t="shared" si="35"/>
        <v>0.6</v>
      </c>
      <c r="AE40" s="55" t="str">
        <f t="shared" si="4"/>
        <v>Media</v>
      </c>
      <c r="AF40" s="54">
        <f t="shared" si="23"/>
        <v>0.6</v>
      </c>
      <c r="AG40" s="55" t="str">
        <f t="shared" si="24"/>
        <v>Menor</v>
      </c>
      <c r="AH40" s="54">
        <f t="shared" si="7"/>
        <v>0.30000000000000004</v>
      </c>
      <c r="AI40" s="56" t="str">
        <f t="shared" si="25"/>
        <v>Moderado</v>
      </c>
      <c r="AJ40" s="51" t="s">
        <v>69</v>
      </c>
      <c r="AK40" s="3" t="s">
        <v>318</v>
      </c>
      <c r="AL40" s="163" t="s">
        <v>70</v>
      </c>
      <c r="AM40" s="196"/>
    </row>
    <row r="41" spans="1:42" ht="135" customHeight="1">
      <c r="A41" s="206">
        <v>25</v>
      </c>
      <c r="B41" s="199" t="s">
        <v>117</v>
      </c>
      <c r="C41" s="200" t="str">
        <f>+IFERROR(VLOOKUP(B41,'Validacion de datos'!A:B,2,0),"")</f>
        <v>Acompañar a través de estrategias socioculturales a los entes territoriales del Departamento, a las familias antioqueñas beneficiarias de los proyectos en los que participa la Empresa de Vivienda de Antioquia –VIVA-, promoviendo el empoderamiento de las comunidades, la participación y el desarrollo de capacidades para lograr viviendas dignas, sostenibles y el mejoramiento de la calidad de vida.</v>
      </c>
      <c r="D41" s="200" t="s">
        <v>324</v>
      </c>
      <c r="E41" s="200" t="s">
        <v>325</v>
      </c>
      <c r="F41" s="200" t="s">
        <v>326</v>
      </c>
      <c r="G41" s="221">
        <v>360</v>
      </c>
      <c r="H41" s="222" t="str">
        <f t="shared" si="19"/>
        <v>Media</v>
      </c>
      <c r="I41" s="223">
        <f t="shared" si="8"/>
        <v>0.6</v>
      </c>
      <c r="J41" s="224" t="s">
        <v>122</v>
      </c>
      <c r="K41" s="225" t="str">
        <f>IF(NOT(ISERROR(MATCH(J41,'[1]Validacion de datos'!$H$14:$H$16,0))),'[1]Validacion de datos'!$J$16&amp;"Por favor no seleccionar los criterios de impacto(Afectación Económica o presupuestal y Pérdida Reputacional)",J41)</f>
        <v>El riesgo afecta la imagen de de la entidad con efecto publicitario sostenido a nivel de sector administrativo, nivel departamental o municipal</v>
      </c>
      <c r="L41" s="222" t="str">
        <f>IF(OR(K41=IMPACTO!$C$3,K41=IMPACTO!$D$3),"Leve",IF(OR(K41=IMPACTO!$C$4,K41=IMPACTO!$D$4),"Menor",IF(OR(K41=IMPACTO!$C$5,K41=IMPACTO!$D$5),"Moderado",IF(OR(K41=IMPACTO!$C$6,K41=IMPACTO!$D$6),"Mayor",IF(OR(K41=IMPACTO!$C$7,K41=IMPACTO!$D$7),"Catastrófico","")))))</f>
        <v>Mayor</v>
      </c>
      <c r="M41" s="223">
        <f t="shared" si="20"/>
        <v>0.8</v>
      </c>
      <c r="N41" s="226" t="str">
        <f t="shared" si="26"/>
        <v>Alto</v>
      </c>
      <c r="O41" s="221"/>
      <c r="P41" s="227" t="s">
        <v>327</v>
      </c>
      <c r="Q41" s="227" t="s">
        <v>328</v>
      </c>
      <c r="R41" s="228" t="s">
        <v>190</v>
      </c>
      <c r="S41" s="229">
        <v>46007</v>
      </c>
      <c r="T41" s="53" t="str">
        <f t="shared" si="1"/>
        <v>Probabilidad</v>
      </c>
      <c r="U41" s="51" t="s">
        <v>78</v>
      </c>
      <c r="V41" s="51" t="s">
        <v>64</v>
      </c>
      <c r="W41" s="54" t="str">
        <f t="shared" si="22"/>
        <v>40%</v>
      </c>
      <c r="X41" s="136">
        <f t="shared" si="10"/>
        <v>-0.4</v>
      </c>
      <c r="Y41" s="51" t="s">
        <v>65</v>
      </c>
      <c r="Z41" s="51" t="s">
        <v>66</v>
      </c>
      <c r="AA41" s="147" t="s">
        <v>67</v>
      </c>
      <c r="AB41" s="51" t="s">
        <v>68</v>
      </c>
      <c r="AC41" s="147">
        <f>+IFERROR(VLOOKUP(AB41,'Validacion de datos'!$S$2:$T$4,2,0),"")</f>
        <v>0</v>
      </c>
      <c r="AD41" s="134">
        <f t="shared" si="35"/>
        <v>0.36</v>
      </c>
      <c r="AE41" s="55" t="str">
        <f t="shared" si="4"/>
        <v>Baja</v>
      </c>
      <c r="AF41" s="54">
        <f t="shared" si="23"/>
        <v>0.36</v>
      </c>
      <c r="AG41" s="55" t="str">
        <f t="shared" si="24"/>
        <v>Mayor</v>
      </c>
      <c r="AH41" s="54">
        <f t="shared" si="7"/>
        <v>0.8</v>
      </c>
      <c r="AI41" s="56" t="str">
        <f t="shared" si="25"/>
        <v>Alto</v>
      </c>
      <c r="AJ41" s="51" t="s">
        <v>69</v>
      </c>
      <c r="AK41" s="3" t="s">
        <v>224</v>
      </c>
      <c r="AL41" s="245" t="s">
        <v>70</v>
      </c>
      <c r="AM41" s="196"/>
    </row>
  </sheetData>
  <autoFilter ref="A9:AP38" xr:uid="{782D04CD-274C-4C0F-9241-A7415F791995}">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4" showButton="0"/>
    <filterColumn colId="35" showButton="0"/>
    <filterColumn colId="36" showButton="0"/>
  </autoFilter>
  <mergeCells count="94">
    <mergeCell ref="AE33:AE34"/>
    <mergeCell ref="AG33:AG34"/>
    <mergeCell ref="AI33:AI34"/>
    <mergeCell ref="AJ33:AJ34"/>
    <mergeCell ref="AL33:AL34"/>
    <mergeCell ref="AJ14:AJ15"/>
    <mergeCell ref="AJ16:AJ17"/>
    <mergeCell ref="AL14:AL15"/>
    <mergeCell ref="AL16:AL17"/>
    <mergeCell ref="AI14:AI15"/>
    <mergeCell ref="AG14:AG15"/>
    <mergeCell ref="AE14:AE15"/>
    <mergeCell ref="AE16:AE17"/>
    <mergeCell ref="AG16:AG17"/>
    <mergeCell ref="AI16:AI17"/>
    <mergeCell ref="B37:B38"/>
    <mergeCell ref="C37:C38"/>
    <mergeCell ref="A33:A34"/>
    <mergeCell ref="B21:B22"/>
    <mergeCell ref="AD9:AL10"/>
    <mergeCell ref="A14:A15"/>
    <mergeCell ref="A16:A17"/>
    <mergeCell ref="D14:D15"/>
    <mergeCell ref="C14:C17"/>
    <mergeCell ref="B14:B17"/>
    <mergeCell ref="D16:D17"/>
    <mergeCell ref="O9:AC10"/>
    <mergeCell ref="B30:B32"/>
    <mergeCell ref="C33:C34"/>
    <mergeCell ref="E33:E34"/>
    <mergeCell ref="F33:F34"/>
    <mergeCell ref="J7:AL7"/>
    <mergeCell ref="W12:W13"/>
    <mergeCell ref="K11:K13"/>
    <mergeCell ref="AK11:AK13"/>
    <mergeCell ref="AI11:AI13"/>
    <mergeCell ref="AH11:AH13"/>
    <mergeCell ref="AJ11:AJ13"/>
    <mergeCell ref="Y12:Y13"/>
    <mergeCell ref="AG11:AG13"/>
    <mergeCell ref="AF11:AF13"/>
    <mergeCell ref="AE11:AE13"/>
    <mergeCell ref="Q11:Q13"/>
    <mergeCell ref="AL11:AL13"/>
    <mergeCell ref="H9:N10"/>
    <mergeCell ref="J11:J13"/>
    <mergeCell ref="N11:N13"/>
    <mergeCell ref="C7:D7"/>
    <mergeCell ref="E7:I7"/>
    <mergeCell ref="A1:AL3"/>
    <mergeCell ref="T11:T13"/>
    <mergeCell ref="A6:B6"/>
    <mergeCell ref="A9:A13"/>
    <mergeCell ref="B9:B13"/>
    <mergeCell ref="C9:C13"/>
    <mergeCell ref="A7:B8"/>
    <mergeCell ref="D11:D13"/>
    <mergeCell ref="E11:E13"/>
    <mergeCell ref="F11:F13"/>
    <mergeCell ref="L11:L13"/>
    <mergeCell ref="M11:M13"/>
    <mergeCell ref="H11:H13"/>
    <mergeCell ref="I11:I13"/>
    <mergeCell ref="A4:B4"/>
    <mergeCell ref="A5:B5"/>
    <mergeCell ref="C5:AL5"/>
    <mergeCell ref="C4:AL4"/>
    <mergeCell ref="C6:AL6"/>
    <mergeCell ref="F8:AL8"/>
    <mergeCell ref="D9:G10"/>
    <mergeCell ref="G11:G13"/>
    <mergeCell ref="AD11:AD13"/>
    <mergeCell ref="C30:C32"/>
    <mergeCell ref="X12:X13"/>
    <mergeCell ref="R11:R13"/>
    <mergeCell ref="S11:S13"/>
    <mergeCell ref="O11:O13"/>
    <mergeCell ref="P11:P13"/>
    <mergeCell ref="U11:AC11"/>
    <mergeCell ref="AC12:AC13"/>
    <mergeCell ref="AB12:AB13"/>
    <mergeCell ref="Z12:Z13"/>
    <mergeCell ref="AA12:AA13"/>
    <mergeCell ref="U12:U13"/>
    <mergeCell ref="V12:V13"/>
    <mergeCell ref="D33:D34"/>
    <mergeCell ref="B33:B34"/>
    <mergeCell ref="Q21:Q22"/>
    <mergeCell ref="B25:B27"/>
    <mergeCell ref="C25:C27"/>
    <mergeCell ref="C21:C22"/>
    <mergeCell ref="L33:L34"/>
    <mergeCell ref="N33:N34"/>
    <mergeCell ref="M33:M34"/>
  </mergeCells>
  <phoneticPr fontId="23" type="noConversion"/>
  <conditionalFormatting sqref="H14:H41 AE14 AE16 AE18:AE33 AE35:AE41">
    <cfRule type="cellIs" dxfId="24" priority="42" operator="equal">
      <formula>"Muy Alta"</formula>
    </cfRule>
    <cfRule type="cellIs" dxfId="23" priority="43" operator="equal">
      <formula>"Alta"</formula>
    </cfRule>
    <cfRule type="cellIs" dxfId="22" priority="44" operator="equal">
      <formula>"Media"</formula>
    </cfRule>
    <cfRule type="cellIs" dxfId="21" priority="45" operator="equal">
      <formula>"Baja"</formula>
    </cfRule>
    <cfRule type="cellIs" dxfId="20" priority="46" operator="equal">
      <formula>"Muy Baja"</formula>
    </cfRule>
  </conditionalFormatting>
  <conditionalFormatting sqref="J14:J36">
    <cfRule type="containsText" dxfId="19" priority="6" operator="containsText" text="EXTREMO">
      <formula>NOT(ISERROR(SEARCH("EXTREMO",J14)))</formula>
    </cfRule>
    <cfRule type="containsText" dxfId="18" priority="7" operator="containsText" text="EXTREMA">
      <formula>NOT(ISERROR(SEARCH("EXTREMA",J14)))</formula>
    </cfRule>
    <cfRule type="containsText" dxfId="17" priority="8" operator="containsText" text="ALTA">
      <formula>NOT(ISERROR(SEARCH("ALTA",J14)))</formula>
    </cfRule>
    <cfRule type="containsText" dxfId="16" priority="9" operator="containsText" text="MODERADO">
      <formula>NOT(ISERROR(SEARCH("MODERADO",J14)))</formula>
    </cfRule>
    <cfRule type="containsText" dxfId="15" priority="10" operator="containsText" text="BAJA">
      <formula>NOT(ISERROR(SEARCH("BAJA",J14)))</formula>
    </cfRule>
  </conditionalFormatting>
  <conditionalFormatting sqref="K14:K880">
    <cfRule type="containsText" dxfId="14" priority="303" operator="containsText" text="❌">
      <formula>NOT(ISERROR(SEARCH("❌",K14)))</formula>
    </cfRule>
  </conditionalFormatting>
  <conditionalFormatting sqref="L14:L33 AG14 AG16 AG18:AG33 L35:L41 AG35:AG41">
    <cfRule type="cellIs" dxfId="13" priority="36" operator="equal">
      <formula>"Catastrófico"</formula>
    </cfRule>
    <cfRule type="cellIs" dxfId="12" priority="37" operator="equal">
      <formula>"Mayor"</formula>
    </cfRule>
    <cfRule type="cellIs" dxfId="11" priority="38" operator="equal">
      <formula>"Moderado"</formula>
    </cfRule>
    <cfRule type="cellIs" dxfId="10" priority="39" operator="equal">
      <formula>"Menor"</formula>
    </cfRule>
    <cfRule type="cellIs" dxfId="9" priority="40" operator="equal">
      <formula>"Leve"</formula>
    </cfRule>
  </conditionalFormatting>
  <conditionalFormatting sqref="N14:N33 AI14 AI16 AI18:AI33 N35:N41 AI35:AI41">
    <cfRule type="cellIs" dxfId="8" priority="32" operator="equal">
      <formula>"Extremo"</formula>
    </cfRule>
    <cfRule type="cellIs" dxfId="7" priority="33" operator="equal">
      <formula>"Alto"</formula>
    </cfRule>
    <cfRule type="cellIs" dxfId="6" priority="34" operator="equal">
      <formula>"Moderado"</formula>
    </cfRule>
    <cfRule type="cellIs" dxfId="5" priority="35" operator="equal">
      <formula>"Bajo"</formula>
    </cfRule>
  </conditionalFormatting>
  <conditionalFormatting sqref="J38:J41">
    <cfRule type="containsText" dxfId="4" priority="1" operator="containsText" text="EXTREMO">
      <formula>NOT(ISERROR(SEARCH("EXTREMO",J38)))</formula>
    </cfRule>
    <cfRule type="containsText" dxfId="3" priority="2" operator="containsText" text="EXTREMA">
      <formula>NOT(ISERROR(SEARCH("EXTREMA",J38)))</formula>
    </cfRule>
    <cfRule type="containsText" dxfId="2" priority="3" operator="containsText" text="ALTA">
      <formula>NOT(ISERROR(SEARCH("ALTA",J38)))</formula>
    </cfRule>
    <cfRule type="containsText" dxfId="1" priority="4" operator="containsText" text="MODERADO">
      <formula>NOT(ISERROR(SEARCH("MODERADO",J38)))</formula>
    </cfRule>
    <cfRule type="containsText" dxfId="0" priority="5" operator="containsText" text="BAJA">
      <formula>NOT(ISERROR(SEARCH("BAJA",J38)))</formula>
    </cfRule>
  </conditionalFormatting>
  <dataValidations count="1">
    <dataValidation allowBlank="1" showInputMessage="1" showErrorMessage="1" promptTitle="ATENCIÓN" prompt="ESCRIBA SOLO UN CONTROL POR CELDA. Puede indicar hasta 2 controles por cada vulnerabilidad (debilidad, falla o causa)" sqref="P22" xr:uid="{BCB7F4A3-974B-4E6B-933E-B0ED25C51305}"/>
  </dataValidations>
  <pageMargins left="0.7" right="0.7" top="0.75" bottom="0.75" header="0.3" footer="0.3"/>
  <pageSetup scale="11"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E017CD8B-EF64-4763-A1F8-F39CE89B97E6}">
          <x14:formula1>
            <xm:f>'Validacion de datos'!$A$2:$A$21</xm:f>
          </x14:formula1>
          <xm:sqref>B33 B35:B36 B18:B21 B14 B23:B25 B28:B31 B39:B41</xm:sqref>
        </x14:dataValidation>
        <x14:dataValidation type="list" allowBlank="1" showInputMessage="1" showErrorMessage="1" xr:uid="{6424498A-8CAD-4F8B-A042-570D35DEDECD}">
          <x14:formula1>
            <xm:f>'Validacion de datos'!$J$2:$J$13</xm:f>
          </x14:formula1>
          <xm:sqref>J14:J36 J38:J41</xm:sqref>
        </x14:dataValidation>
        <x14:dataValidation type="list" allowBlank="1" showInputMessage="1" showErrorMessage="1" xr:uid="{CD269D1F-F4C1-4375-90F4-A4CA12DD3942}">
          <x14:formula1>
            <xm:f>'Validacion de datos'!$N$2:$N$4</xm:f>
          </x14:formula1>
          <xm:sqref>U14:U41</xm:sqref>
        </x14:dataValidation>
        <x14:dataValidation type="list" allowBlank="1" showInputMessage="1" showErrorMessage="1" xr:uid="{54E1B04F-2CB2-40D3-9B42-02700DAF9B5A}">
          <x14:formula1>
            <xm:f>'Validacion de datos'!$O$2:$O$3</xm:f>
          </x14:formula1>
          <xm:sqref>V14:V41</xm:sqref>
        </x14:dataValidation>
        <x14:dataValidation type="list" allowBlank="1" showInputMessage="1" showErrorMessage="1" xr:uid="{854EC849-D9A6-4462-A51F-1ED1853CC054}">
          <x14:formula1>
            <xm:f>'Validacion de datos'!$P$2:$P$3</xm:f>
          </x14:formula1>
          <xm:sqref>Y14:Y41</xm:sqref>
        </x14:dataValidation>
        <x14:dataValidation type="list" allowBlank="1" showInputMessage="1" showErrorMessage="1" xr:uid="{ABFB84BB-4771-47A9-9000-41493CE695AF}">
          <x14:formula1>
            <xm:f>'Validacion de datos'!$Q$2:$Q$3</xm:f>
          </x14:formula1>
          <xm:sqref>Z14:Z41</xm:sqref>
        </x14:dataValidation>
        <x14:dataValidation type="list" allowBlank="1" showInputMessage="1" showErrorMessage="1" xr:uid="{8FBBB2CA-B4D1-415C-8A58-677ECA7B9DDE}">
          <x14:formula1>
            <xm:f>'Validacion de datos'!$U$2:$U$5</xm:f>
          </x14:formula1>
          <xm:sqref>AJ14 AJ16 AJ18:AJ26 AJ28:AJ33 AJ35:AJ41</xm:sqref>
        </x14:dataValidation>
        <x14:dataValidation type="list" allowBlank="1" showInputMessage="1" showErrorMessage="1" xr:uid="{710822E4-C75F-4983-881D-E2984FB408F2}">
          <x14:formula1>
            <xm:f>'Validacion de datos'!$V$2:$V$3</xm:f>
          </x14:formula1>
          <xm:sqref>AL14 AL16 AL18:AL33 AL35:AL41</xm:sqref>
        </x14:dataValidation>
        <x14:dataValidation type="list" allowBlank="1" showInputMessage="1" showErrorMessage="1" xr:uid="{E4B172C4-6577-4B46-9E4C-B681CF5952D5}">
          <x14:formula1>
            <xm:f>'Validacion de datos'!$R$2:$R$3</xm:f>
          </x14:formula1>
          <xm:sqref>AA14:AA41</xm:sqref>
        </x14:dataValidation>
        <x14:dataValidation type="list" allowBlank="1" showInputMessage="1" showErrorMessage="1" xr:uid="{EFA2DF34-DBB6-4424-A9F4-6D1956CE9AD8}">
          <x14:formula1>
            <xm:f>'Validacion de datos'!$S$2:$S$4</xm:f>
          </x14:formula1>
          <xm:sqref>AB14:AB41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8939-D737-4982-B029-E76087AF8E47}">
  <dimension ref="A2:Y9"/>
  <sheetViews>
    <sheetView showGridLines="0" workbookViewId="0">
      <selection activeCell="F18" sqref="F18"/>
    </sheetView>
  </sheetViews>
  <sheetFormatPr defaultColWidth="11.42578125" defaultRowHeight="14.45"/>
  <cols>
    <col min="2" max="2" width="16.7109375" customWidth="1"/>
    <col min="3" max="3" width="59.28515625" bestFit="1" customWidth="1"/>
    <col min="4" max="4" width="23.42578125" customWidth="1"/>
  </cols>
  <sheetData>
    <row r="2" spans="1:25" ht="15" thickBot="1"/>
    <row r="3" spans="1:25" ht="16.149999999999999" thickBot="1">
      <c r="A3" s="14"/>
      <c r="B3" s="391" t="s">
        <v>329</v>
      </c>
      <c r="C3" s="553"/>
      <c r="D3" s="554"/>
      <c r="E3" s="14"/>
      <c r="F3" s="14"/>
      <c r="G3" s="14"/>
      <c r="H3" s="14"/>
      <c r="I3" s="14"/>
      <c r="J3" s="14"/>
      <c r="K3" s="14"/>
      <c r="L3" s="14"/>
      <c r="M3" s="14"/>
      <c r="N3" s="14"/>
      <c r="O3" s="14"/>
      <c r="P3" s="14"/>
      <c r="Q3" s="14"/>
      <c r="R3" s="14"/>
      <c r="S3" s="14"/>
      <c r="T3" s="14"/>
      <c r="U3" s="14"/>
      <c r="V3" s="14"/>
      <c r="W3" s="14"/>
      <c r="X3" s="14"/>
      <c r="Y3" s="14"/>
    </row>
    <row r="4" spans="1:25" ht="15" thickBot="1">
      <c r="A4" s="14"/>
      <c r="B4" s="26" t="s">
        <v>330</v>
      </c>
      <c r="C4" s="26" t="s">
        <v>331</v>
      </c>
      <c r="D4" s="26" t="s">
        <v>332</v>
      </c>
      <c r="E4" s="14"/>
      <c r="F4" s="14"/>
      <c r="G4" s="14"/>
      <c r="H4" s="14"/>
      <c r="I4" s="14"/>
      <c r="J4" s="14"/>
      <c r="K4" s="14"/>
      <c r="L4" s="14"/>
      <c r="M4" s="14"/>
      <c r="N4" s="14"/>
      <c r="O4" s="14"/>
      <c r="P4" s="14"/>
      <c r="Q4" s="14"/>
      <c r="R4" s="14"/>
      <c r="S4" s="14"/>
      <c r="T4" s="14"/>
      <c r="U4" s="14"/>
      <c r="V4" s="14"/>
      <c r="W4" s="14"/>
      <c r="X4" s="14"/>
      <c r="Y4" s="14"/>
    </row>
    <row r="5" spans="1:25" ht="37.5" customHeight="1">
      <c r="A5" s="14"/>
      <c r="B5" s="15" t="s">
        <v>333</v>
      </c>
      <c r="C5" s="16" t="s">
        <v>334</v>
      </c>
      <c r="D5" s="23">
        <v>0.2</v>
      </c>
      <c r="E5" s="14"/>
      <c r="F5" s="14"/>
      <c r="G5" s="14"/>
      <c r="H5" s="14"/>
      <c r="I5" s="14"/>
      <c r="J5" s="14"/>
      <c r="K5" s="14"/>
      <c r="L5" s="14"/>
      <c r="M5" s="14"/>
      <c r="N5" s="14"/>
      <c r="O5" s="14"/>
      <c r="P5" s="14"/>
      <c r="Q5" s="14"/>
      <c r="R5" s="14"/>
      <c r="S5" s="14"/>
      <c r="T5" s="14"/>
      <c r="U5" s="14"/>
      <c r="V5" s="14"/>
      <c r="W5" s="14"/>
      <c r="X5" s="14"/>
      <c r="Y5" s="14"/>
    </row>
    <row r="6" spans="1:25" ht="42.4" customHeight="1">
      <c r="A6" s="14"/>
      <c r="B6" s="17" t="s">
        <v>93</v>
      </c>
      <c r="C6" s="18" t="s">
        <v>335</v>
      </c>
      <c r="D6" s="24">
        <v>0.4</v>
      </c>
      <c r="E6" s="14"/>
      <c r="F6" s="14"/>
      <c r="G6" s="14"/>
      <c r="H6" s="14"/>
      <c r="I6" s="14"/>
      <c r="J6" s="14"/>
      <c r="K6" s="14"/>
      <c r="L6" s="14"/>
      <c r="M6" s="14"/>
      <c r="N6" s="14"/>
      <c r="O6" s="14"/>
      <c r="P6" s="14"/>
      <c r="Q6" s="14"/>
      <c r="R6" s="14"/>
      <c r="S6" s="14"/>
      <c r="T6" s="14"/>
      <c r="U6" s="14"/>
      <c r="V6" s="14"/>
      <c r="W6" s="14"/>
      <c r="X6" s="14"/>
      <c r="Y6" s="14"/>
    </row>
    <row r="7" spans="1:25" ht="31.5" customHeight="1">
      <c r="A7" s="14"/>
      <c r="B7" s="19" t="s">
        <v>83</v>
      </c>
      <c r="C7" s="18" t="s">
        <v>336</v>
      </c>
      <c r="D7" s="24">
        <v>0.6</v>
      </c>
      <c r="E7" s="14"/>
      <c r="F7" s="14"/>
      <c r="G7" s="14"/>
      <c r="H7" s="14"/>
      <c r="I7" s="14"/>
      <c r="J7" s="14"/>
      <c r="K7" s="14"/>
      <c r="L7" s="14"/>
      <c r="M7" s="14"/>
      <c r="N7" s="14"/>
      <c r="O7" s="14"/>
      <c r="P7" s="14"/>
      <c r="Q7" s="14"/>
      <c r="R7" s="14"/>
      <c r="S7" s="14"/>
      <c r="T7" s="14"/>
      <c r="U7" s="14"/>
      <c r="V7" s="14"/>
      <c r="W7" s="14"/>
      <c r="X7" s="14"/>
      <c r="Y7" s="14"/>
    </row>
    <row r="8" spans="1:25" ht="40.9" customHeight="1">
      <c r="A8" s="14"/>
      <c r="B8" s="20" t="s">
        <v>68</v>
      </c>
      <c r="C8" s="18" t="s">
        <v>337</v>
      </c>
      <c r="D8" s="24">
        <v>0.8</v>
      </c>
      <c r="E8" s="14"/>
      <c r="F8" s="14"/>
      <c r="G8" s="14"/>
      <c r="H8" s="14"/>
      <c r="I8" s="14"/>
      <c r="J8" s="14"/>
      <c r="K8" s="14"/>
      <c r="L8" s="14"/>
      <c r="M8" s="14"/>
      <c r="N8" s="14"/>
      <c r="O8" s="14"/>
      <c r="P8" s="14"/>
      <c r="Q8" s="14"/>
      <c r="R8" s="14"/>
      <c r="S8" s="14"/>
      <c r="T8" s="14"/>
      <c r="U8" s="14"/>
      <c r="V8" s="14"/>
      <c r="W8" s="14"/>
      <c r="X8" s="14"/>
      <c r="Y8" s="14"/>
    </row>
    <row r="9" spans="1:25" ht="42" customHeight="1" thickBot="1">
      <c r="A9" s="14"/>
      <c r="B9" s="21" t="s">
        <v>338</v>
      </c>
      <c r="C9" s="22" t="s">
        <v>339</v>
      </c>
      <c r="D9" s="25">
        <v>1</v>
      </c>
      <c r="E9" s="14"/>
      <c r="F9" s="14"/>
      <c r="G9" s="14"/>
      <c r="H9" s="14"/>
      <c r="I9" s="14"/>
      <c r="J9" s="14"/>
      <c r="K9" s="14"/>
      <c r="L9" s="14"/>
      <c r="M9" s="14"/>
      <c r="N9" s="14"/>
      <c r="O9" s="14"/>
      <c r="P9" s="14"/>
      <c r="Q9" s="14"/>
      <c r="R9" s="14"/>
      <c r="S9" s="14"/>
      <c r="T9" s="14"/>
      <c r="U9" s="14"/>
      <c r="V9" s="14"/>
      <c r="W9" s="14"/>
      <c r="X9" s="14"/>
      <c r="Y9" s="14"/>
    </row>
  </sheetData>
  <mergeCells count="1">
    <mergeCell ref="B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DC1A-CCC2-4E8F-A27B-4C7662AA20CF}">
  <dimension ref="B1:D7"/>
  <sheetViews>
    <sheetView zoomScale="80" zoomScaleNormal="80" workbookViewId="0">
      <selection activeCell="C6" sqref="C6"/>
    </sheetView>
  </sheetViews>
  <sheetFormatPr defaultColWidth="11.42578125" defaultRowHeight="14.45"/>
  <cols>
    <col min="2" max="2" width="39.140625" customWidth="1"/>
    <col min="3" max="3" width="69.7109375" customWidth="1"/>
    <col min="4" max="4" width="80.7109375" customWidth="1"/>
  </cols>
  <sheetData>
    <row r="1" spans="2:4" ht="27" customHeight="1">
      <c r="B1" s="392" t="s">
        <v>340</v>
      </c>
      <c r="C1" s="392"/>
      <c r="D1" s="392"/>
    </row>
    <row r="2" spans="2:4" ht="63" customHeight="1">
      <c r="B2" s="140"/>
      <c r="C2" s="36" t="s">
        <v>341</v>
      </c>
      <c r="D2" s="37" t="s">
        <v>111</v>
      </c>
    </row>
    <row r="3" spans="2:4" ht="49.15" customHeight="1">
      <c r="B3" s="35" t="s">
        <v>342</v>
      </c>
      <c r="C3" s="29" t="s">
        <v>77</v>
      </c>
      <c r="D3" s="30" t="s">
        <v>112</v>
      </c>
    </row>
    <row r="4" spans="2:4" ht="124.5" customHeight="1">
      <c r="B4" s="31" t="s">
        <v>343</v>
      </c>
      <c r="C4" s="29" t="s">
        <v>76</v>
      </c>
      <c r="D4" s="30" t="s">
        <v>116</v>
      </c>
    </row>
    <row r="5" spans="2:4" ht="27.6">
      <c r="B5" s="32" t="s">
        <v>344</v>
      </c>
      <c r="C5" s="29" t="s">
        <v>91</v>
      </c>
      <c r="D5" s="30" t="s">
        <v>119</v>
      </c>
    </row>
    <row r="6" spans="2:4" ht="27.6">
      <c r="B6" s="33" t="s">
        <v>345</v>
      </c>
      <c r="C6" s="29" t="s">
        <v>100</v>
      </c>
      <c r="D6" s="30" t="s">
        <v>122</v>
      </c>
    </row>
    <row r="7" spans="2:4" ht="27.6">
      <c r="B7" s="34" t="s">
        <v>346</v>
      </c>
      <c r="C7" s="29" t="s">
        <v>106</v>
      </c>
      <c r="D7" s="30" t="s">
        <v>125</v>
      </c>
    </row>
  </sheetData>
  <mergeCells count="1">
    <mergeCell ref="B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D8B7F-B123-4894-90A8-0739BA137BAF}">
  <dimension ref="A1:CM248"/>
  <sheetViews>
    <sheetView zoomScale="40" zoomScaleNormal="40" workbookViewId="0">
      <selection activeCell="K7" sqref="K7"/>
    </sheetView>
  </sheetViews>
  <sheetFormatPr defaultColWidth="10.85546875" defaultRowHeight="13.9"/>
  <cols>
    <col min="1" max="1" width="10.85546875" style="7"/>
    <col min="2" max="18" width="5.7109375" style="7" customWidth="1"/>
    <col min="19" max="19" width="8.42578125" style="7" customWidth="1"/>
    <col min="20" max="23" width="5.7109375" style="7" customWidth="1"/>
    <col min="24" max="24" width="8.5703125" style="7" customWidth="1"/>
    <col min="25" max="26" width="5.7109375" style="7" customWidth="1"/>
    <col min="27" max="27" width="10.7109375" style="7" customWidth="1"/>
    <col min="28" max="28" width="5.7109375" style="7" customWidth="1"/>
    <col min="29" max="29" width="7.42578125" style="7" customWidth="1"/>
    <col min="30" max="33" width="5.7109375" style="7" customWidth="1"/>
    <col min="34" max="34" width="8.5703125" style="7" customWidth="1"/>
    <col min="35" max="39" width="5.7109375" style="7" customWidth="1"/>
    <col min="40" max="40" width="10.85546875" style="7"/>
    <col min="41" max="46" width="5.7109375" style="7" customWidth="1"/>
    <col min="47" max="16384" width="10.85546875" style="7"/>
  </cols>
  <sheetData>
    <row r="1" spans="1:9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row>
    <row r="2" spans="1:91" ht="18" customHeight="1">
      <c r="A2" s="68"/>
      <c r="B2" s="403" t="s">
        <v>347</v>
      </c>
      <c r="C2" s="404"/>
      <c r="D2" s="404"/>
      <c r="E2" s="404"/>
      <c r="F2" s="404"/>
      <c r="G2" s="404"/>
      <c r="H2" s="404"/>
      <c r="I2" s="404"/>
      <c r="J2" s="405" t="s">
        <v>348</v>
      </c>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row>
    <row r="3" spans="1:91" ht="18.75" customHeight="1">
      <c r="A3" s="68"/>
      <c r="B3" s="404"/>
      <c r="C3" s="404"/>
      <c r="D3" s="404"/>
      <c r="E3" s="404"/>
      <c r="F3" s="404"/>
      <c r="G3" s="404"/>
      <c r="H3" s="404"/>
      <c r="I3" s="404"/>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row>
    <row r="4" spans="1:91" ht="15" customHeight="1">
      <c r="A4" s="68"/>
      <c r="B4" s="404"/>
      <c r="C4" s="404"/>
      <c r="D4" s="404"/>
      <c r="E4" s="404"/>
      <c r="F4" s="404"/>
      <c r="G4" s="404"/>
      <c r="H4" s="404"/>
      <c r="I4" s="404"/>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row>
    <row r="5" spans="1:91" ht="14.45" thickBo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91" ht="15" customHeight="1">
      <c r="A6" s="68"/>
      <c r="B6" s="406" t="s">
        <v>349</v>
      </c>
      <c r="C6" s="406"/>
      <c r="D6" s="407"/>
      <c r="E6" s="393" t="s">
        <v>350</v>
      </c>
      <c r="F6" s="394"/>
      <c r="G6" s="394"/>
      <c r="H6" s="394"/>
      <c r="I6" s="395"/>
      <c r="J6" s="70" t="str">
        <f>IF(AND('[2]Mapa final'!$Y$12="Muy Alta",'[2]Mapa final'!$AA$12="Leve"),CONCATENATE("R1C",'[2]Mapa final'!$O$12),"")</f>
        <v/>
      </c>
      <c r="K6" s="71" t="str">
        <f>IF(AND('[2]Mapa final'!$Y$13="Muy Alta",'[2]Mapa final'!$AA$13="Leve"),CONCATENATE("R1C",'[2]Mapa final'!$O$13),"")</f>
        <v/>
      </c>
      <c r="L6" s="71" t="str">
        <f>IF(AND('[2]Mapa final'!$Y$14="Muy Alta",'[2]Mapa final'!$AA$14="Leve"),CONCATENATE("R1C",'[2]Mapa final'!$O$14),"")</f>
        <v/>
      </c>
      <c r="M6" s="71" t="str">
        <f>IF(AND('[2]Mapa final'!$Y$15="Muy Alta",'[2]Mapa final'!$AA$15="Leve"),CONCATENATE("R1C",'[2]Mapa final'!$O$15),"")</f>
        <v/>
      </c>
      <c r="N6" s="71" t="str">
        <f>IF(AND('[2]Mapa final'!$Y$16="Muy Alta",'[2]Mapa final'!$AA$16="Leve"),CONCATENATE("R1C",'[2]Mapa final'!$O$16),"")</f>
        <v/>
      </c>
      <c r="O6" s="72" t="str">
        <f>IF(AND('[2]Mapa final'!$Y$17="Muy Alta",'[2]Mapa final'!$AA$17="Leve"),CONCATENATE("R1C",'[2]Mapa final'!$O$17),"")</f>
        <v/>
      </c>
      <c r="P6" s="70" t="str">
        <f>IF(AND('[2]Mapa final'!$Y$12="Muy Alta",'[2]Mapa final'!$AA$12="Menor"),CONCATENATE("R1C",'[2]Mapa final'!$O$12),"")</f>
        <v/>
      </c>
      <c r="Q6" s="71" t="str">
        <f>IF(AND('[2]Mapa final'!$Y$13="Muy Alta",'[2]Mapa final'!$AA$13="Menor"),CONCATENATE("R1C",'[2]Mapa final'!$O$13),"")</f>
        <v/>
      </c>
      <c r="R6" s="71" t="str">
        <f>IF(AND('[2]Mapa final'!$Y$14="Muy Alta",'[2]Mapa final'!$AA$14="Menor"),CONCATENATE("R1C",'[2]Mapa final'!$O$14),"")</f>
        <v/>
      </c>
      <c r="S6" s="71" t="str">
        <f>IF(AND('[2]Mapa final'!$Y$15="Muy Alta",'[2]Mapa final'!$AA$15="Menor"),CONCATENATE("R1C",'[2]Mapa final'!$O$15),"")</f>
        <v/>
      </c>
      <c r="T6" s="71" t="str">
        <f>IF(AND('[2]Mapa final'!$Y$16="Muy Alta",'[2]Mapa final'!$AA$16="Menor"),CONCATENATE("R1C",'[2]Mapa final'!$O$16),"")</f>
        <v/>
      </c>
      <c r="U6" s="72" t="str">
        <f>IF(AND('[2]Mapa final'!$Y$17="Muy Alta",'[2]Mapa final'!$AA$17="Menor"),CONCATENATE("R1C",'[2]Mapa final'!$O$17),"")</f>
        <v/>
      </c>
      <c r="V6" s="70" t="str">
        <f>IF(AND('[2]Mapa final'!$Y$12="Muy Alta",'[2]Mapa final'!$AA$12="Moderado"),CONCATENATE("R1C",'[2]Mapa final'!$O$12),"")</f>
        <v/>
      </c>
      <c r="W6" s="71" t="str">
        <f>IF(AND('[2]Mapa final'!$Y$13="Muy Alta",'[2]Mapa final'!$AA$13="Moderado"),CONCATENATE("R1C",'[2]Mapa final'!$O$13),"")</f>
        <v/>
      </c>
      <c r="X6" s="71" t="str">
        <f>IF(AND('[2]Mapa final'!$Y$14="Muy Alta",'[2]Mapa final'!$AA$14="Moderado"),CONCATENATE("R1C",'[2]Mapa final'!$O$14),"")</f>
        <v/>
      </c>
      <c r="Y6" s="71" t="str">
        <f>IF(AND('[2]Mapa final'!$Y$15="Muy Alta",'[2]Mapa final'!$AA$15="Moderado"),CONCATENATE("R1C",'[2]Mapa final'!$O$15),"")</f>
        <v/>
      </c>
      <c r="Z6" s="71" t="str">
        <f>IF(AND('[2]Mapa final'!$Y$16="Muy Alta",'[2]Mapa final'!$AA$16="Moderado"),CONCATENATE("R1C",'[2]Mapa final'!$O$16),"")</f>
        <v/>
      </c>
      <c r="AA6" s="72" t="str">
        <f>IF(AND('[2]Mapa final'!$Y$17="Muy Alta",'[2]Mapa final'!$AA$17="Moderado"),CONCATENATE("R1C",'[2]Mapa final'!$O$17),"")</f>
        <v/>
      </c>
      <c r="AB6" s="70" t="str">
        <f>IF(AND('[2]Mapa final'!$Y$12="Muy Alta",'[2]Mapa final'!$AA$12="Mayor"),CONCATENATE("R1C",'[2]Mapa final'!$O$12),"")</f>
        <v/>
      </c>
      <c r="AC6" s="71" t="str">
        <f>IF(AND('[2]Mapa final'!$Y$13="Muy Alta",'[2]Mapa final'!$AA$13="Mayor"),CONCATENATE("R1C",'[2]Mapa final'!$O$13),"")</f>
        <v/>
      </c>
      <c r="AD6" s="71" t="str">
        <f>IF(AND('[2]Mapa final'!$Y$14="Muy Alta",'[2]Mapa final'!$AA$14="Mayor"),CONCATENATE("R1C",'[2]Mapa final'!$O$14),"")</f>
        <v/>
      </c>
      <c r="AE6" s="71" t="str">
        <f>IF(AND('[2]Mapa final'!$Y$15="Muy Alta",'[2]Mapa final'!$AA$15="Mayor"),CONCATENATE("R1C",'[2]Mapa final'!$O$15),"")</f>
        <v/>
      </c>
      <c r="AF6" s="71" t="str">
        <f>IF(AND('[2]Mapa final'!$Y$16="Muy Alta",'[2]Mapa final'!$AA$16="Mayor"),CONCATENATE("R1C",'[2]Mapa final'!$O$16),"")</f>
        <v/>
      </c>
      <c r="AG6" s="72" t="str">
        <f>IF(AND('[2]Mapa final'!$Y$17="Muy Alta",'[2]Mapa final'!$AA$17="Mayor"),CONCATENATE("R1C",'[2]Mapa final'!$O$17),"")</f>
        <v/>
      </c>
      <c r="AH6" s="73" t="str">
        <f>IF(AND('[2]Mapa final'!$Y$12="Muy Alta",'[2]Mapa final'!$AA$12="Catastrófico"),CONCATENATE("R1C",'[2]Mapa final'!$O$12),"")</f>
        <v/>
      </c>
      <c r="AI6" s="74" t="str">
        <f>IF(AND('[2]Mapa final'!$Y$13="Muy Alta",'[2]Mapa final'!$AA$13="Catastrófico"),CONCATENATE("R1C",'[2]Mapa final'!$O$13),"")</f>
        <v/>
      </c>
      <c r="AJ6" s="74" t="str">
        <f>IF(AND('[2]Mapa final'!$Y$14="Muy Alta",'[2]Mapa final'!$AA$14="Catastrófico"),CONCATENATE("R1C",'[2]Mapa final'!$O$14),"")</f>
        <v/>
      </c>
      <c r="AK6" s="74" t="str">
        <f>IF(AND('[2]Mapa final'!$Y$15="Muy Alta",'[2]Mapa final'!$AA$15="Catastrófico"),CONCATENATE("R1C",'[2]Mapa final'!$O$15),"")</f>
        <v/>
      </c>
      <c r="AL6" s="74" t="str">
        <f>IF(AND('[2]Mapa final'!$Y$16="Muy Alta",'[2]Mapa final'!$AA$16="Catastrófico"),CONCATENATE("R1C",'[2]Mapa final'!$O$16),"")</f>
        <v/>
      </c>
      <c r="AM6" s="75" t="str">
        <f>IF(AND('[2]Mapa final'!$Y$17="Muy Alta",'[2]Mapa final'!$AA$17="Catastrófico"),CONCATENATE("R1C",'[2]Mapa final'!$O$17),"")</f>
        <v/>
      </c>
      <c r="AN6" s="68"/>
      <c r="AO6" s="408" t="s">
        <v>351</v>
      </c>
      <c r="AP6" s="409"/>
      <c r="AQ6" s="409"/>
      <c r="AR6" s="409"/>
      <c r="AS6" s="409"/>
      <c r="AT6" s="410"/>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row>
    <row r="7" spans="1:91" ht="15" customHeight="1">
      <c r="A7" s="68"/>
      <c r="B7" s="406"/>
      <c r="C7" s="406"/>
      <c r="D7" s="407"/>
      <c r="E7" s="396"/>
      <c r="F7" s="397"/>
      <c r="G7" s="397"/>
      <c r="H7" s="397"/>
      <c r="I7" s="398"/>
      <c r="J7" s="76" t="str">
        <f>IF(AND('[2]Mapa final'!$Y$18="Muy Alta",'[2]Mapa final'!$AA$18="Leve"),CONCATENATE("R2C",'[2]Mapa final'!$O$18),"")</f>
        <v/>
      </c>
      <c r="K7" s="77" t="str">
        <f>IF(AND('[2]Mapa final'!$Y$19="Muy Alta",'[2]Mapa final'!$AA$19="Leve"),CONCATENATE("R2C",'[2]Mapa final'!$O$19),"")</f>
        <v/>
      </c>
      <c r="L7" s="77" t="str">
        <f>IF(AND('[2]Mapa final'!$Y$20="Muy Alta",'[2]Mapa final'!$AA$20="Leve"),CONCATENATE("R2C",'[2]Mapa final'!$O$20),"")</f>
        <v/>
      </c>
      <c r="M7" s="77" t="str">
        <f>IF(AND('[2]Mapa final'!$Y$21="Muy Alta",'[2]Mapa final'!$AA$21="Leve"),CONCATENATE("R2C",'[2]Mapa final'!$O$21),"")</f>
        <v/>
      </c>
      <c r="N7" s="77" t="str">
        <f>IF(AND('[2]Mapa final'!$Y$22="Muy Alta",'[2]Mapa final'!$AA$22="Leve"),CONCATENATE("R2C",'[2]Mapa final'!$O$22),"")</f>
        <v/>
      </c>
      <c r="O7" s="78" t="str">
        <f>IF(AND('[2]Mapa final'!$Y$23="Muy Alta",'[2]Mapa final'!$AA$23="Leve"),CONCATENATE("R2C",'[2]Mapa final'!$O$23),"")</f>
        <v/>
      </c>
      <c r="P7" s="76" t="str">
        <f>IF(AND('[2]Mapa final'!$Y$18="Muy Alta",'[2]Mapa final'!$AA$18="Menor"),CONCATENATE("R2C",'[2]Mapa final'!$O$18),"")</f>
        <v/>
      </c>
      <c r="Q7" s="77" t="str">
        <f>IF(AND('[2]Mapa final'!$Y$19="Muy Alta",'[2]Mapa final'!$AA$19="Menor"),CONCATENATE("R2C",'[2]Mapa final'!$O$19),"")</f>
        <v/>
      </c>
      <c r="R7" s="77" t="str">
        <f>IF(AND('[2]Mapa final'!$Y$20="Muy Alta",'[2]Mapa final'!$AA$20="Menor"),CONCATENATE("R2C",'[2]Mapa final'!$O$20),"")</f>
        <v/>
      </c>
      <c r="S7" s="77" t="str">
        <f>IF(AND('[2]Mapa final'!$Y$21="Muy Alta",'[2]Mapa final'!$AA$21="Menor"),CONCATENATE("R2C",'[2]Mapa final'!$O$21),"")</f>
        <v/>
      </c>
      <c r="T7" s="77" t="str">
        <f>IF(AND('[2]Mapa final'!$Y$22="Muy Alta",'[2]Mapa final'!$AA$22="Menor"),CONCATENATE("R2C",'[2]Mapa final'!$O$22),"")</f>
        <v/>
      </c>
      <c r="U7" s="78" t="str">
        <f>IF(AND('[2]Mapa final'!$Y$23="Muy Alta",'[2]Mapa final'!$AA$23="Menor"),CONCATENATE("R2C",'[2]Mapa final'!$O$23),"")</f>
        <v/>
      </c>
      <c r="V7" s="76" t="str">
        <f>IF(AND('[2]Mapa final'!$Y$18="Muy Alta",'[2]Mapa final'!$AA$18="Moderado"),CONCATENATE("R2C",'[2]Mapa final'!$O$18),"")</f>
        <v/>
      </c>
      <c r="W7" s="77" t="str">
        <f>IF(AND('[2]Mapa final'!$Y$19="Muy Alta",'[2]Mapa final'!$AA$19="Moderado"),CONCATENATE("R2C",'[2]Mapa final'!$O$19),"")</f>
        <v/>
      </c>
      <c r="X7" s="77" t="str">
        <f>IF(AND('[2]Mapa final'!$Y$20="Muy Alta",'[2]Mapa final'!$AA$20="Moderado"),CONCATENATE("R2C",'[2]Mapa final'!$O$20),"")</f>
        <v/>
      </c>
      <c r="Y7" s="77" t="str">
        <f>IF(AND('[2]Mapa final'!$Y$21="Muy Alta",'[2]Mapa final'!$AA$21="Moderado"),CONCATENATE("R2C",'[2]Mapa final'!$O$21),"")</f>
        <v/>
      </c>
      <c r="Z7" s="77" t="str">
        <f>IF(AND('[2]Mapa final'!$Y$22="Muy Alta",'[2]Mapa final'!$AA$22="Moderado"),CONCATENATE("R2C",'[2]Mapa final'!$O$22),"")</f>
        <v/>
      </c>
      <c r="AA7" s="78" t="str">
        <f>IF(AND('[2]Mapa final'!$Y$23="Muy Alta",'[2]Mapa final'!$AA$23="Moderado"),CONCATENATE("R2C",'[2]Mapa final'!$O$23),"")</f>
        <v/>
      </c>
      <c r="AB7" s="76" t="str">
        <f>IF(AND('[2]Mapa final'!$Y$18="Muy Alta",'[2]Mapa final'!$AA$18="Mayor"),CONCATENATE("R2C",'[2]Mapa final'!$O$18),"")</f>
        <v/>
      </c>
      <c r="AC7" s="77" t="str">
        <f>IF(AND('[2]Mapa final'!$Y$19="Muy Alta",'[2]Mapa final'!$AA$19="Mayor"),CONCATENATE("R2C",'[2]Mapa final'!$O$19),"")</f>
        <v/>
      </c>
      <c r="AD7" s="77" t="str">
        <f>IF(AND('[2]Mapa final'!$Y$20="Muy Alta",'[2]Mapa final'!$AA$20="Mayor"),CONCATENATE("R2C",'[2]Mapa final'!$O$20),"")</f>
        <v/>
      </c>
      <c r="AE7" s="77" t="str">
        <f>IF(AND('[2]Mapa final'!$Y$21="Muy Alta",'[2]Mapa final'!$AA$21="Mayor"),CONCATENATE("R2C",'[2]Mapa final'!$O$21),"")</f>
        <v/>
      </c>
      <c r="AF7" s="77" t="str">
        <f>IF(AND('[2]Mapa final'!$Y$22="Muy Alta",'[2]Mapa final'!$AA$22="Mayor"),CONCATENATE("R2C",'[2]Mapa final'!$O$22),"")</f>
        <v/>
      </c>
      <c r="AG7" s="78" t="str">
        <f>IF(AND('[2]Mapa final'!$Y$23="Muy Alta",'[2]Mapa final'!$AA$23="Mayor"),CONCATENATE("R2C",'[2]Mapa final'!$O$23),"")</f>
        <v/>
      </c>
      <c r="AH7" s="79" t="str">
        <f>IF(AND('[2]Mapa final'!$Y$18="Muy Alta",'[2]Mapa final'!$AA$18="Catastrófico"),CONCATENATE("R2C",'[2]Mapa final'!$O$18),"")</f>
        <v/>
      </c>
      <c r="AI7" s="80" t="str">
        <f>IF(AND('[2]Mapa final'!$Y$19="Muy Alta",'[2]Mapa final'!$AA$19="Catastrófico"),CONCATENATE("R2C",'[2]Mapa final'!$O$19),"")</f>
        <v/>
      </c>
      <c r="AJ7" s="80" t="str">
        <f>IF(AND('[2]Mapa final'!$Y$20="Muy Alta",'[2]Mapa final'!$AA$20="Catastrófico"),CONCATENATE("R2C",'[2]Mapa final'!$O$20),"")</f>
        <v/>
      </c>
      <c r="AK7" s="80" t="str">
        <f>IF(AND('[2]Mapa final'!$Y$21="Muy Alta",'[2]Mapa final'!$AA$21="Catastrófico"),CONCATENATE("R2C",'[2]Mapa final'!$O$21),"")</f>
        <v/>
      </c>
      <c r="AL7" s="80" t="str">
        <f>IF(AND('[2]Mapa final'!$Y$22="Muy Alta",'[2]Mapa final'!$AA$22="Catastrófico"),CONCATENATE("R2C",'[2]Mapa final'!$O$22),"")</f>
        <v/>
      </c>
      <c r="AM7" s="81" t="str">
        <f>IF(AND('[2]Mapa final'!$Y$23="Muy Alta",'[2]Mapa final'!$AA$23="Catastrófico"),CONCATENATE("R2C",'[2]Mapa final'!$O$23),"")</f>
        <v/>
      </c>
      <c r="AN7" s="68"/>
      <c r="AO7" s="411"/>
      <c r="AP7" s="412"/>
      <c r="AQ7" s="412"/>
      <c r="AR7" s="412"/>
      <c r="AS7" s="412"/>
      <c r="AT7" s="413"/>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row>
    <row r="8" spans="1:91" ht="15" customHeight="1">
      <c r="A8" s="68"/>
      <c r="B8" s="406"/>
      <c r="C8" s="406"/>
      <c r="D8" s="407"/>
      <c r="E8" s="396"/>
      <c r="F8" s="397"/>
      <c r="G8" s="397"/>
      <c r="H8" s="397"/>
      <c r="I8" s="398"/>
      <c r="J8" s="76" t="str">
        <f>IF(AND('[2]Mapa final'!$Y$24="Muy Alta",'[2]Mapa final'!$AA$24="Leve"),CONCATENATE("R3C",'[2]Mapa final'!$O$24),"")</f>
        <v/>
      </c>
      <c r="K8" s="77" t="str">
        <f>IF(AND('[2]Mapa final'!$Y$25="Muy Alta",'[2]Mapa final'!$AA$25="Leve"),CONCATENATE("R3C",'[2]Mapa final'!$O$25),"")</f>
        <v/>
      </c>
      <c r="L8" s="77" t="str">
        <f>IF(AND('[2]Mapa final'!$Y$26="Muy Alta",'[2]Mapa final'!$AA$26="Leve"),CONCATENATE("R3C",'[2]Mapa final'!$O$26),"")</f>
        <v/>
      </c>
      <c r="M8" s="77" t="str">
        <f>IF(AND('[2]Mapa final'!$Y$27="Muy Alta",'[2]Mapa final'!$AA$27="Leve"),CONCATENATE("R3C",'[2]Mapa final'!$O$27),"")</f>
        <v/>
      </c>
      <c r="N8" s="77" t="str">
        <f>IF(AND('[2]Mapa final'!$Y$28="Muy Alta",'[2]Mapa final'!$AA$28="Leve"),CONCATENATE("R3C",'[2]Mapa final'!$O$28),"")</f>
        <v/>
      </c>
      <c r="O8" s="78" t="str">
        <f>IF(AND('[2]Mapa final'!$Y$29="Muy Alta",'[2]Mapa final'!$AA$29="Leve"),CONCATENATE("R3C",'[2]Mapa final'!$O$29),"")</f>
        <v/>
      </c>
      <c r="P8" s="76" t="str">
        <f>IF(AND('[2]Mapa final'!$Y$24="Muy Alta",'[2]Mapa final'!$AA$24="Menor"),CONCATENATE("R3C",'[2]Mapa final'!$O$24),"")</f>
        <v/>
      </c>
      <c r="Q8" s="77" t="str">
        <f>IF(AND('[2]Mapa final'!$Y$25="Muy Alta",'[2]Mapa final'!$AA$25="Menor"),CONCATENATE("R3C",'[2]Mapa final'!$O$25),"")</f>
        <v/>
      </c>
      <c r="R8" s="77" t="str">
        <f>IF(AND('[2]Mapa final'!$Y$26="Muy Alta",'[2]Mapa final'!$AA$26="Menor"),CONCATENATE("R3C",'[2]Mapa final'!$O$26),"")</f>
        <v/>
      </c>
      <c r="S8" s="77" t="str">
        <f>IF(AND('[2]Mapa final'!$Y$27="Muy Alta",'[2]Mapa final'!$AA$27="Menor"),CONCATENATE("R3C",'[2]Mapa final'!$O$27),"")</f>
        <v/>
      </c>
      <c r="T8" s="77" t="str">
        <f>IF(AND('[2]Mapa final'!$Y$28="Muy Alta",'[2]Mapa final'!$AA$28="Menor"),CONCATENATE("R3C",'[2]Mapa final'!$O$28),"")</f>
        <v/>
      </c>
      <c r="U8" s="78" t="str">
        <f>IF(AND('[2]Mapa final'!$Y$29="Muy Alta",'[2]Mapa final'!$AA$29="Menor"),CONCATENATE("R3C",'[2]Mapa final'!$O$29),"")</f>
        <v/>
      </c>
      <c r="V8" s="76" t="str">
        <f>IF(AND('[2]Mapa final'!$Y$24="Muy Alta",'[2]Mapa final'!$AA$24="Moderado"),CONCATENATE("R3C",'[2]Mapa final'!$O$24),"")</f>
        <v/>
      </c>
      <c r="W8" s="77" t="str">
        <f>IF(AND('[2]Mapa final'!$Y$25="Muy Alta",'[2]Mapa final'!$AA$25="Moderado"),CONCATENATE("R3C",'[2]Mapa final'!$O$25),"")</f>
        <v/>
      </c>
      <c r="X8" s="77" t="str">
        <f>IF(AND('[2]Mapa final'!$Y$26="Muy Alta",'[2]Mapa final'!$AA$26="Moderado"),CONCATENATE("R3C",'[2]Mapa final'!$O$26),"")</f>
        <v/>
      </c>
      <c r="Y8" s="77" t="str">
        <f>IF(AND('[2]Mapa final'!$Y$27="Muy Alta",'[2]Mapa final'!$AA$27="Moderado"),CONCATENATE("R3C",'[2]Mapa final'!$O$27),"")</f>
        <v/>
      </c>
      <c r="Z8" s="77" t="str">
        <f>IF(AND('[2]Mapa final'!$Y$28="Muy Alta",'[2]Mapa final'!$AA$28="Moderado"),CONCATENATE("R3C",'[2]Mapa final'!$O$28),"")</f>
        <v/>
      </c>
      <c r="AA8" s="78" t="str">
        <f>IF(AND('[2]Mapa final'!$Y$29="Muy Alta",'[2]Mapa final'!$AA$29="Moderado"),CONCATENATE("R3C",'[2]Mapa final'!$O$29),"")</f>
        <v/>
      </c>
      <c r="AB8" s="76" t="str">
        <f>IF(AND('[2]Mapa final'!$Y$24="Muy Alta",'[2]Mapa final'!$AA$24="Mayor"),CONCATENATE("R3C",'[2]Mapa final'!$O$24),"")</f>
        <v/>
      </c>
      <c r="AC8" s="77" t="str">
        <f>IF(AND('[2]Mapa final'!$Y$25="Muy Alta",'[2]Mapa final'!$AA$25="Mayor"),CONCATENATE("R3C",'[2]Mapa final'!$O$25),"")</f>
        <v/>
      </c>
      <c r="AD8" s="77" t="str">
        <f>IF(AND('[2]Mapa final'!$Y$26="Muy Alta",'[2]Mapa final'!$AA$26="Mayor"),CONCATENATE("R3C",'[2]Mapa final'!$O$26),"")</f>
        <v/>
      </c>
      <c r="AE8" s="77" t="str">
        <f>IF(AND('[2]Mapa final'!$Y$27="Muy Alta",'[2]Mapa final'!$AA$27="Mayor"),CONCATENATE("R3C",'[2]Mapa final'!$O$27),"")</f>
        <v/>
      </c>
      <c r="AF8" s="77" t="str">
        <f>IF(AND('[2]Mapa final'!$Y$28="Muy Alta",'[2]Mapa final'!$AA$28="Mayor"),CONCATENATE("R3C",'[2]Mapa final'!$O$28),"")</f>
        <v/>
      </c>
      <c r="AG8" s="78" t="str">
        <f>IF(AND('[2]Mapa final'!$Y$29="Muy Alta",'[2]Mapa final'!$AA$29="Mayor"),CONCATENATE("R3C",'[2]Mapa final'!$O$29),"")</f>
        <v/>
      </c>
      <c r="AH8" s="79" t="str">
        <f>IF(AND('[2]Mapa final'!$Y$24="Muy Alta",'[2]Mapa final'!$AA$24="Catastrófico"),CONCATENATE("R3C",'[2]Mapa final'!$O$24),"")</f>
        <v/>
      </c>
      <c r="AI8" s="80" t="str">
        <f>IF(AND('[2]Mapa final'!$Y$25="Muy Alta",'[2]Mapa final'!$AA$25="Catastrófico"),CONCATENATE("R3C",'[2]Mapa final'!$O$25),"")</f>
        <v/>
      </c>
      <c r="AJ8" s="80" t="str">
        <f>IF(AND('[2]Mapa final'!$Y$26="Muy Alta",'[2]Mapa final'!$AA$26="Catastrófico"),CONCATENATE("R3C",'[2]Mapa final'!$O$26),"")</f>
        <v/>
      </c>
      <c r="AK8" s="80" t="str">
        <f>IF(AND('[2]Mapa final'!$Y$27="Muy Alta",'[2]Mapa final'!$AA$27="Catastrófico"),CONCATENATE("R3C",'[2]Mapa final'!$O$27),"")</f>
        <v/>
      </c>
      <c r="AL8" s="80" t="str">
        <f>IF(AND('[2]Mapa final'!$Y$28="Muy Alta",'[2]Mapa final'!$AA$28="Catastrófico"),CONCATENATE("R3C",'[2]Mapa final'!$O$28),"")</f>
        <v/>
      </c>
      <c r="AM8" s="81" t="str">
        <f>IF(AND('[2]Mapa final'!$Y$29="Muy Alta",'[2]Mapa final'!$AA$29="Catastrófico"),CONCATENATE("R3C",'[2]Mapa final'!$O$29),"")</f>
        <v/>
      </c>
      <c r="AN8" s="68"/>
      <c r="AO8" s="411"/>
      <c r="AP8" s="412"/>
      <c r="AQ8" s="412"/>
      <c r="AR8" s="412"/>
      <c r="AS8" s="412"/>
      <c r="AT8" s="413"/>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row>
    <row r="9" spans="1:91" ht="15" customHeight="1">
      <c r="A9" s="68"/>
      <c r="B9" s="406"/>
      <c r="C9" s="406"/>
      <c r="D9" s="407"/>
      <c r="E9" s="396"/>
      <c r="F9" s="397"/>
      <c r="G9" s="397"/>
      <c r="H9" s="397"/>
      <c r="I9" s="398"/>
      <c r="J9" s="76" t="e">
        <f>IF(AND('[2]Mapa final'!$Y$30="Muy Alta",'[2]Mapa final'!$AA$30="Leve"),CONCATENATE("R4C",'[2]Mapa final'!$O$30),"")</f>
        <v>#REF!</v>
      </c>
      <c r="K9" s="77" t="str">
        <f>IF(AND('[2]Mapa final'!$Y$31="Muy Alta",'[2]Mapa final'!$AA$31="Leve"),CONCATENATE("R4C",'[2]Mapa final'!$O$31),"")</f>
        <v/>
      </c>
      <c r="L9" s="77" t="str">
        <f>IF(AND('[2]Mapa final'!$Y$32="Muy Alta",'[2]Mapa final'!$AA$32="Leve"),CONCATENATE("R4C",'[2]Mapa final'!$O$32),"")</f>
        <v/>
      </c>
      <c r="M9" s="77" t="str">
        <f>IF(AND('[2]Mapa final'!$Y$33="Muy Alta",'[2]Mapa final'!$AA$33="Leve"),CONCATENATE("R4C",'[2]Mapa final'!$O$33),"")</f>
        <v/>
      </c>
      <c r="N9" s="77" t="str">
        <f>IF(AND('[2]Mapa final'!$Y$34="Muy Alta",'[2]Mapa final'!$AA$34="Leve"),CONCATENATE("R4C",'[2]Mapa final'!$O$34),"")</f>
        <v/>
      </c>
      <c r="O9" s="78" t="str">
        <f>IF(AND('[2]Mapa final'!$Y$35="Muy Alta",'[2]Mapa final'!$AA$35="Leve"),CONCATENATE("R4C",'[2]Mapa final'!$O$35),"")</f>
        <v/>
      </c>
      <c r="P9" s="76" t="e">
        <f>IF(AND('[2]Mapa final'!$Y$30="Muy Alta",'[2]Mapa final'!$AA$30="Menor"),CONCATENATE("R4C",'[2]Mapa final'!$O$30),"")</f>
        <v>#REF!</v>
      </c>
      <c r="Q9" s="77" t="str">
        <f>IF(AND('[2]Mapa final'!$Y$31="Muy Alta",'[2]Mapa final'!$AA$31="Menor"),CONCATENATE("R4C",'[2]Mapa final'!$O$31),"")</f>
        <v/>
      </c>
      <c r="R9" s="77" t="str">
        <f>IF(AND('[2]Mapa final'!$Y$32="Muy Alta",'[2]Mapa final'!$AA$32="Menor"),CONCATENATE("R4C",'[2]Mapa final'!$O$32),"")</f>
        <v/>
      </c>
      <c r="S9" s="77" t="str">
        <f>IF(AND('[2]Mapa final'!$Y$33="Muy Alta",'[2]Mapa final'!$AA$33="Menor"),CONCATENATE("R4C",'[2]Mapa final'!$O$33),"")</f>
        <v/>
      </c>
      <c r="T9" s="77" t="str">
        <f>IF(AND('[2]Mapa final'!$Y$34="Muy Alta",'[2]Mapa final'!$AA$34="Menor"),CONCATENATE("R4C",'[2]Mapa final'!$O$34),"")</f>
        <v/>
      </c>
      <c r="U9" s="78" t="str">
        <f>IF(AND('[2]Mapa final'!$Y$35="Muy Alta",'[2]Mapa final'!$AA$35="Menor"),CONCATENATE("R4C",'[2]Mapa final'!$O$35),"")</f>
        <v/>
      </c>
      <c r="V9" s="76" t="e">
        <f>IF(AND('[2]Mapa final'!$Y$30="Muy Alta",'[2]Mapa final'!$AA$30="Moderado"),CONCATENATE("R4C",'[2]Mapa final'!$O$30),"")</f>
        <v>#REF!</v>
      </c>
      <c r="W9" s="77" t="str">
        <f>IF(AND('[2]Mapa final'!$Y$31="Muy Alta",'[2]Mapa final'!$AA$31="Moderado"),CONCATENATE("R4C",'[2]Mapa final'!$O$31),"")</f>
        <v/>
      </c>
      <c r="X9" s="77" t="str">
        <f>IF(AND('[2]Mapa final'!$Y$32="Muy Alta",'[2]Mapa final'!$AA$32="Moderado"),CONCATENATE("R4C",'[2]Mapa final'!$O$32),"")</f>
        <v/>
      </c>
      <c r="Y9" s="77" t="str">
        <f>IF(AND('[2]Mapa final'!$Y$33="Muy Alta",'[2]Mapa final'!$AA$33="Moderado"),CONCATENATE("R4C",'[2]Mapa final'!$O$33),"")</f>
        <v/>
      </c>
      <c r="Z9" s="77" t="str">
        <f>IF(AND('[2]Mapa final'!$Y$34="Muy Alta",'[2]Mapa final'!$AA$34="Moderado"),CONCATENATE("R4C",'[2]Mapa final'!$O$34),"")</f>
        <v/>
      </c>
      <c r="AA9" s="78" t="str">
        <f>IF(AND('[2]Mapa final'!$Y$35="Muy Alta",'[2]Mapa final'!$AA$35="Moderado"),CONCATENATE("R4C",'[2]Mapa final'!$O$35),"")</f>
        <v/>
      </c>
      <c r="AB9" s="76" t="e">
        <f>IF(AND('[2]Mapa final'!$Y$30="Muy Alta",'[2]Mapa final'!$AA$30="Mayor"),CONCATENATE("R4C",'[2]Mapa final'!$O$30),"")</f>
        <v>#REF!</v>
      </c>
      <c r="AC9" s="77" t="str">
        <f>IF(AND('[2]Mapa final'!$Y$31="Muy Alta",'[2]Mapa final'!$AA$31="Mayor"),CONCATENATE("R4C",'[2]Mapa final'!$O$31),"")</f>
        <v/>
      </c>
      <c r="AD9" s="77" t="str">
        <f>IF(AND('[2]Mapa final'!$Y$32="Muy Alta",'[2]Mapa final'!$AA$32="Mayor"),CONCATENATE("R4C",'[2]Mapa final'!$O$32),"")</f>
        <v/>
      </c>
      <c r="AE9" s="77" t="str">
        <f>IF(AND('[2]Mapa final'!$Y$33="Muy Alta",'[2]Mapa final'!$AA$33="Mayor"),CONCATENATE("R4C",'[2]Mapa final'!$O$33),"")</f>
        <v/>
      </c>
      <c r="AF9" s="77" t="str">
        <f>IF(AND('[2]Mapa final'!$Y$34="Muy Alta",'[2]Mapa final'!$AA$34="Mayor"),CONCATENATE("R4C",'[2]Mapa final'!$O$34),"")</f>
        <v/>
      </c>
      <c r="AG9" s="78" t="str">
        <f>IF(AND('[2]Mapa final'!$Y$35="Muy Alta",'[2]Mapa final'!$AA$35="Mayor"),CONCATENATE("R4C",'[2]Mapa final'!$O$35),"")</f>
        <v/>
      </c>
      <c r="AH9" s="79" t="e">
        <f>IF(AND('[2]Mapa final'!$Y$30="Muy Alta",'[2]Mapa final'!$AA$30="Catastrófico"),CONCATENATE("R4C",'[2]Mapa final'!$O$30),"")</f>
        <v>#REF!</v>
      </c>
      <c r="AI9" s="80" t="str">
        <f>IF(AND('[2]Mapa final'!$Y$31="Muy Alta",'[2]Mapa final'!$AA$31="Catastrófico"),CONCATENATE("R4C",'[2]Mapa final'!$O$31),"")</f>
        <v/>
      </c>
      <c r="AJ9" s="80" t="str">
        <f>IF(AND('[2]Mapa final'!$Y$32="Muy Alta",'[2]Mapa final'!$AA$32="Catastrófico"),CONCATENATE("R4C",'[2]Mapa final'!$O$32),"")</f>
        <v/>
      </c>
      <c r="AK9" s="80" t="str">
        <f>IF(AND('[2]Mapa final'!$Y$33="Muy Alta",'[2]Mapa final'!$AA$33="Catastrófico"),CONCATENATE("R4C",'[2]Mapa final'!$O$33),"")</f>
        <v/>
      </c>
      <c r="AL9" s="80" t="str">
        <f>IF(AND('[2]Mapa final'!$Y$34="Muy Alta",'[2]Mapa final'!$AA$34="Catastrófico"),CONCATENATE("R4C",'[2]Mapa final'!$O$34),"")</f>
        <v/>
      </c>
      <c r="AM9" s="81" t="str">
        <f>IF(AND('[2]Mapa final'!$Y$35="Muy Alta",'[2]Mapa final'!$AA$35="Catastrófico"),CONCATENATE("R4C",'[2]Mapa final'!$O$35),"")</f>
        <v/>
      </c>
      <c r="AN9" s="68"/>
      <c r="AO9" s="411"/>
      <c r="AP9" s="412"/>
      <c r="AQ9" s="412"/>
      <c r="AR9" s="412"/>
      <c r="AS9" s="412"/>
      <c r="AT9" s="413"/>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row>
    <row r="10" spans="1:91" ht="15" customHeight="1">
      <c r="A10" s="68"/>
      <c r="B10" s="406"/>
      <c r="C10" s="406"/>
      <c r="D10" s="407"/>
      <c r="E10" s="396"/>
      <c r="F10" s="397"/>
      <c r="G10" s="397"/>
      <c r="H10" s="397"/>
      <c r="I10" s="398"/>
      <c r="J10" s="76" t="str">
        <f>IF(AND('[2]Mapa final'!$Y$36="Muy Alta",'[2]Mapa final'!$AA$36="Leve"),CONCATENATE("R5C",'[2]Mapa final'!$O$36),"")</f>
        <v/>
      </c>
      <c r="K10" s="77" t="str">
        <f>IF(AND('[2]Mapa final'!$Y$37="Muy Alta",'[2]Mapa final'!$AA$37="Leve"),CONCATENATE("R5C",'[2]Mapa final'!$O$37),"")</f>
        <v/>
      </c>
      <c r="L10" s="77" t="str">
        <f>IF(AND('[2]Mapa final'!$Y$38="Muy Alta",'[2]Mapa final'!$AA$38="Leve"),CONCATENATE("R5C",'[2]Mapa final'!$O$38),"")</f>
        <v/>
      </c>
      <c r="M10" s="77" t="str">
        <f>IF(AND('[2]Mapa final'!$Y$39="Muy Alta",'[2]Mapa final'!$AA$39="Leve"),CONCATENATE("R5C",'[2]Mapa final'!$O$39),"")</f>
        <v/>
      </c>
      <c r="N10" s="77" t="str">
        <f>IF(AND('[2]Mapa final'!$Y$40="Muy Alta",'[2]Mapa final'!$AA$40="Leve"),CONCATENATE("R5C",'[2]Mapa final'!$O$40),"")</f>
        <v/>
      </c>
      <c r="O10" s="78" t="str">
        <f>IF(AND('[2]Mapa final'!$Y$41="Muy Alta",'[2]Mapa final'!$AA$41="Leve"),CONCATENATE("R5C",'[2]Mapa final'!$O$41),"")</f>
        <v/>
      </c>
      <c r="P10" s="76" t="str">
        <f>IF(AND('[2]Mapa final'!$Y$36="Muy Alta",'[2]Mapa final'!$AA$36="Menor"),CONCATENATE("R5C",'[2]Mapa final'!$O$36),"")</f>
        <v/>
      </c>
      <c r="Q10" s="77" t="str">
        <f>IF(AND('[2]Mapa final'!$Y$37="Muy Alta",'[2]Mapa final'!$AA$37="Menor"),CONCATENATE("R5C",'[2]Mapa final'!$O$37),"")</f>
        <v/>
      </c>
      <c r="R10" s="77" t="str">
        <f>IF(AND('[2]Mapa final'!$Y$38="Muy Alta",'[2]Mapa final'!$AA$38="Menor"),CONCATENATE("R5C",'[2]Mapa final'!$O$38),"")</f>
        <v/>
      </c>
      <c r="S10" s="77" t="str">
        <f>IF(AND('[2]Mapa final'!$Y$39="Muy Alta",'[2]Mapa final'!$AA$39="Menor"),CONCATENATE("R5C",'[2]Mapa final'!$O$39),"")</f>
        <v/>
      </c>
      <c r="T10" s="77" t="str">
        <f>IF(AND('[2]Mapa final'!$Y$40="Muy Alta",'[2]Mapa final'!$AA$40="Menor"),CONCATENATE("R5C",'[2]Mapa final'!$O$40),"")</f>
        <v/>
      </c>
      <c r="U10" s="78" t="str">
        <f>IF(AND('[2]Mapa final'!$Y$41="Muy Alta",'[2]Mapa final'!$AA$41="Menor"),CONCATENATE("R5C",'[2]Mapa final'!$O$41),"")</f>
        <v/>
      </c>
      <c r="V10" s="76" t="str">
        <f>IF(AND('[2]Mapa final'!$Y$36="Muy Alta",'[2]Mapa final'!$AA$36="Moderado"),CONCATENATE("R5C",'[2]Mapa final'!$O$36),"")</f>
        <v/>
      </c>
      <c r="W10" s="77" t="str">
        <f>IF(AND('[2]Mapa final'!$Y$37="Muy Alta",'[2]Mapa final'!$AA$37="Moderado"),CONCATENATE("R5C",'[2]Mapa final'!$O$37),"")</f>
        <v/>
      </c>
      <c r="X10" s="77" t="str">
        <f>IF(AND('[2]Mapa final'!$Y$38="Muy Alta",'[2]Mapa final'!$AA$38="Moderado"),CONCATENATE("R5C",'[2]Mapa final'!$O$38),"")</f>
        <v/>
      </c>
      <c r="Y10" s="77" t="str">
        <f>IF(AND('[2]Mapa final'!$Y$39="Muy Alta",'[2]Mapa final'!$AA$39="Moderado"),CONCATENATE("R5C",'[2]Mapa final'!$O$39),"")</f>
        <v/>
      </c>
      <c r="Z10" s="77" t="str">
        <f>IF(AND('[2]Mapa final'!$Y$40="Muy Alta",'[2]Mapa final'!$AA$40="Moderado"),CONCATENATE("R5C",'[2]Mapa final'!$O$40),"")</f>
        <v/>
      </c>
      <c r="AA10" s="78" t="str">
        <f>IF(AND('[2]Mapa final'!$Y$41="Muy Alta",'[2]Mapa final'!$AA$41="Moderado"),CONCATENATE("R5C",'[2]Mapa final'!$O$41),"")</f>
        <v/>
      </c>
      <c r="AB10" s="76" t="str">
        <f>IF(AND('[2]Mapa final'!$Y$36="Muy Alta",'[2]Mapa final'!$AA$36="Mayor"),CONCATENATE("R5C",'[2]Mapa final'!$O$36),"")</f>
        <v/>
      </c>
      <c r="AC10" s="77" t="str">
        <f>IF(AND('[2]Mapa final'!$Y$37="Muy Alta",'[2]Mapa final'!$AA$37="Mayor"),CONCATENATE("R5C",'[2]Mapa final'!$O$37),"")</f>
        <v/>
      </c>
      <c r="AD10" s="77" t="str">
        <f>IF(AND('[2]Mapa final'!$Y$38="Muy Alta",'[2]Mapa final'!$AA$38="Mayor"),CONCATENATE("R5C",'[2]Mapa final'!$O$38),"")</f>
        <v/>
      </c>
      <c r="AE10" s="77" t="str">
        <f>IF(AND('[2]Mapa final'!$Y$39="Muy Alta",'[2]Mapa final'!$AA$39="Mayor"),CONCATENATE("R5C",'[2]Mapa final'!$O$39),"")</f>
        <v/>
      </c>
      <c r="AF10" s="77" t="str">
        <f>IF(AND('[2]Mapa final'!$Y$40="Muy Alta",'[2]Mapa final'!$AA$40="Mayor"),CONCATENATE("R5C",'[2]Mapa final'!$O$40),"")</f>
        <v/>
      </c>
      <c r="AG10" s="78" t="str">
        <f>IF(AND('[2]Mapa final'!$Y$41="Muy Alta",'[2]Mapa final'!$AA$41="Mayor"),CONCATENATE("R5C",'[2]Mapa final'!$O$41),"")</f>
        <v/>
      </c>
      <c r="AH10" s="79" t="str">
        <f>IF(AND('[2]Mapa final'!$Y$36="Muy Alta",'[2]Mapa final'!$AA$36="Catastrófico"),CONCATENATE("R5C",'[2]Mapa final'!$O$36),"")</f>
        <v/>
      </c>
      <c r="AI10" s="80" t="str">
        <f>IF(AND('[2]Mapa final'!$Y$37="Muy Alta",'[2]Mapa final'!$AA$37="Catastrófico"),CONCATENATE("R5C",'[2]Mapa final'!$O$37),"")</f>
        <v/>
      </c>
      <c r="AJ10" s="80" t="str">
        <f>IF(AND('[2]Mapa final'!$Y$38="Muy Alta",'[2]Mapa final'!$AA$38="Catastrófico"),CONCATENATE("R5C",'[2]Mapa final'!$O$38),"")</f>
        <v/>
      </c>
      <c r="AK10" s="80" t="str">
        <f>IF(AND('[2]Mapa final'!$Y$39="Muy Alta",'[2]Mapa final'!$AA$39="Catastrófico"),CONCATENATE("R5C",'[2]Mapa final'!$O$39),"")</f>
        <v/>
      </c>
      <c r="AL10" s="80" t="str">
        <f>IF(AND('[2]Mapa final'!$Y$40="Muy Alta",'[2]Mapa final'!$AA$40="Catastrófico"),CONCATENATE("R5C",'[2]Mapa final'!$O$40),"")</f>
        <v/>
      </c>
      <c r="AM10" s="81" t="str">
        <f>IF(AND('[2]Mapa final'!$Y$41="Muy Alta",'[2]Mapa final'!$AA$41="Catastrófico"),CONCATENATE("R5C",'[2]Mapa final'!$O$41),"")</f>
        <v/>
      </c>
      <c r="AN10" s="68"/>
      <c r="AO10" s="411"/>
      <c r="AP10" s="412"/>
      <c r="AQ10" s="412"/>
      <c r="AR10" s="412"/>
      <c r="AS10" s="412"/>
      <c r="AT10" s="413"/>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row>
    <row r="11" spans="1:91" ht="15" customHeight="1">
      <c r="A11" s="68"/>
      <c r="B11" s="406"/>
      <c r="C11" s="406"/>
      <c r="D11" s="407"/>
      <c r="E11" s="396"/>
      <c r="F11" s="397"/>
      <c r="G11" s="397"/>
      <c r="H11" s="397"/>
      <c r="I11" s="398"/>
      <c r="J11" s="76" t="str">
        <f>IF(AND('[2]Mapa final'!$Y$42="Muy Alta",'[2]Mapa final'!$AA$42="Leve"),CONCATENATE("R6C",'[2]Mapa final'!$O$42),"")</f>
        <v/>
      </c>
      <c r="K11" s="77" t="str">
        <f>IF(AND('[2]Mapa final'!$Y$43="Muy Alta",'[2]Mapa final'!$AA$43="Leve"),CONCATENATE("R6C",'[2]Mapa final'!$O$43),"")</f>
        <v/>
      </c>
      <c r="L11" s="77" t="str">
        <f>IF(AND('[2]Mapa final'!$Y$44="Muy Alta",'[2]Mapa final'!$AA$44="Leve"),CONCATENATE("R6C",'[2]Mapa final'!$O$44),"")</f>
        <v/>
      </c>
      <c r="M11" s="77" t="str">
        <f>IF(AND('[2]Mapa final'!$Y$45="Muy Alta",'[2]Mapa final'!$AA$45="Leve"),CONCATENATE("R6C",'[2]Mapa final'!$O$45),"")</f>
        <v/>
      </c>
      <c r="N11" s="77" t="str">
        <f>IF(AND('[2]Mapa final'!$Y$46="Muy Alta",'[2]Mapa final'!$AA$46="Leve"),CONCATENATE("R6C",'[2]Mapa final'!$O$46),"")</f>
        <v/>
      </c>
      <c r="O11" s="78" t="str">
        <f>IF(AND('[2]Mapa final'!$Y$47="Muy Alta",'[2]Mapa final'!$AA$47="Leve"),CONCATENATE("R6C",'[2]Mapa final'!$O$47),"")</f>
        <v/>
      </c>
      <c r="P11" s="76" t="str">
        <f>IF(AND('[2]Mapa final'!$Y$42="Muy Alta",'[2]Mapa final'!$AA$42="Menor"),CONCATENATE("R6C",'[2]Mapa final'!$O$42),"")</f>
        <v/>
      </c>
      <c r="Q11" s="77" t="str">
        <f>IF(AND('[2]Mapa final'!$Y$43="Muy Alta",'[2]Mapa final'!$AA$43="Menor"),CONCATENATE("R6C",'[2]Mapa final'!$O$43),"")</f>
        <v/>
      </c>
      <c r="R11" s="77" t="str">
        <f>IF(AND('[2]Mapa final'!$Y$44="Muy Alta",'[2]Mapa final'!$AA$44="Menor"),CONCATENATE("R6C",'[2]Mapa final'!$O$44),"")</f>
        <v/>
      </c>
      <c r="S11" s="77" t="str">
        <f>IF(AND('[2]Mapa final'!$Y$45="Muy Alta",'[2]Mapa final'!$AA$45="Menor"),CONCATENATE("R6C",'[2]Mapa final'!$O$45),"")</f>
        <v/>
      </c>
      <c r="T11" s="77" t="str">
        <f>IF(AND('[2]Mapa final'!$Y$46="Muy Alta",'[2]Mapa final'!$AA$46="Menor"),CONCATENATE("R6C",'[2]Mapa final'!$O$46),"")</f>
        <v/>
      </c>
      <c r="U11" s="78" t="str">
        <f>IF(AND('[2]Mapa final'!$Y$47="Muy Alta",'[2]Mapa final'!$AA$47="Menor"),CONCATENATE("R6C",'[2]Mapa final'!$O$47),"")</f>
        <v/>
      </c>
      <c r="V11" s="76" t="str">
        <f>IF(AND('[2]Mapa final'!$Y$42="Muy Alta",'[2]Mapa final'!$AA$42="Moderado"),CONCATENATE("R6C",'[2]Mapa final'!$O$42),"")</f>
        <v/>
      </c>
      <c r="W11" s="77" t="str">
        <f>IF(AND('[2]Mapa final'!$Y$43="Muy Alta",'[2]Mapa final'!$AA$43="Moderado"),CONCATENATE("R6C",'[2]Mapa final'!$O$43),"")</f>
        <v/>
      </c>
      <c r="X11" s="77" t="str">
        <f>IF(AND('[2]Mapa final'!$Y$44="Muy Alta",'[2]Mapa final'!$AA$44="Moderado"),CONCATENATE("R6C",'[2]Mapa final'!$O$44),"")</f>
        <v/>
      </c>
      <c r="Y11" s="77" t="str">
        <f>IF(AND('[2]Mapa final'!$Y$45="Muy Alta",'[2]Mapa final'!$AA$45="Moderado"),CONCATENATE("R6C",'[2]Mapa final'!$O$45),"")</f>
        <v/>
      </c>
      <c r="Z11" s="77" t="str">
        <f>IF(AND('[2]Mapa final'!$Y$46="Muy Alta",'[2]Mapa final'!$AA$46="Moderado"),CONCATENATE("R6C",'[2]Mapa final'!$O$46),"")</f>
        <v/>
      </c>
      <c r="AA11" s="78" t="str">
        <f>IF(AND('[2]Mapa final'!$Y$47="Muy Alta",'[2]Mapa final'!$AA$47="Moderado"),CONCATENATE("R6C",'[2]Mapa final'!$O$47),"")</f>
        <v/>
      </c>
      <c r="AB11" s="76" t="str">
        <f>IF(AND('[2]Mapa final'!$Y$42="Muy Alta",'[2]Mapa final'!$AA$42="Mayor"),CONCATENATE("R6C",'[2]Mapa final'!$O$42),"")</f>
        <v/>
      </c>
      <c r="AC11" s="77" t="str">
        <f>IF(AND('[2]Mapa final'!$Y$43="Muy Alta",'[2]Mapa final'!$AA$43="Mayor"),CONCATENATE("R6C",'[2]Mapa final'!$O$43),"")</f>
        <v/>
      </c>
      <c r="AD11" s="77" t="str">
        <f>IF(AND('[2]Mapa final'!$Y$44="Muy Alta",'[2]Mapa final'!$AA$44="Mayor"),CONCATENATE("R6C",'[2]Mapa final'!$O$44),"")</f>
        <v/>
      </c>
      <c r="AE11" s="77" t="str">
        <f>IF(AND('[2]Mapa final'!$Y$45="Muy Alta",'[2]Mapa final'!$AA$45="Mayor"),CONCATENATE("R6C",'[2]Mapa final'!$O$45),"")</f>
        <v/>
      </c>
      <c r="AF11" s="77" t="str">
        <f>IF(AND('[2]Mapa final'!$Y$46="Muy Alta",'[2]Mapa final'!$AA$46="Mayor"),CONCATENATE("R6C",'[2]Mapa final'!$O$46),"")</f>
        <v/>
      </c>
      <c r="AG11" s="78" t="str">
        <f>IF(AND('[2]Mapa final'!$Y$47="Muy Alta",'[2]Mapa final'!$AA$47="Mayor"),CONCATENATE("R6C",'[2]Mapa final'!$O$47),"")</f>
        <v/>
      </c>
      <c r="AH11" s="79" t="str">
        <f>IF(AND('[2]Mapa final'!$Y$42="Muy Alta",'[2]Mapa final'!$AA$42="Catastrófico"),CONCATENATE("R6C",'[2]Mapa final'!$O$42),"")</f>
        <v/>
      </c>
      <c r="AI11" s="80" t="str">
        <f>IF(AND('[2]Mapa final'!$Y$43="Muy Alta",'[2]Mapa final'!$AA$43="Catastrófico"),CONCATENATE("R6C",'[2]Mapa final'!$O$43),"")</f>
        <v/>
      </c>
      <c r="AJ11" s="80" t="str">
        <f>IF(AND('[2]Mapa final'!$Y$44="Muy Alta",'[2]Mapa final'!$AA$44="Catastrófico"),CONCATENATE("R6C",'[2]Mapa final'!$O$44),"")</f>
        <v/>
      </c>
      <c r="AK11" s="80" t="str">
        <f>IF(AND('[2]Mapa final'!$Y$45="Muy Alta",'[2]Mapa final'!$AA$45="Catastrófico"),CONCATENATE("R6C",'[2]Mapa final'!$O$45),"")</f>
        <v/>
      </c>
      <c r="AL11" s="80" t="str">
        <f>IF(AND('[2]Mapa final'!$Y$46="Muy Alta",'[2]Mapa final'!$AA$46="Catastrófico"),CONCATENATE("R6C",'[2]Mapa final'!$O$46),"")</f>
        <v/>
      </c>
      <c r="AM11" s="81" t="str">
        <f>IF(AND('[2]Mapa final'!$Y$47="Muy Alta",'[2]Mapa final'!$AA$47="Catastrófico"),CONCATENATE("R6C",'[2]Mapa final'!$O$47),"")</f>
        <v/>
      </c>
      <c r="AN11" s="68"/>
      <c r="AO11" s="411"/>
      <c r="AP11" s="412"/>
      <c r="AQ11" s="412"/>
      <c r="AR11" s="412"/>
      <c r="AS11" s="412"/>
      <c r="AT11" s="413"/>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row>
    <row r="12" spans="1:91" ht="15" customHeight="1">
      <c r="A12" s="68"/>
      <c r="B12" s="406"/>
      <c r="C12" s="406"/>
      <c r="D12" s="407"/>
      <c r="E12" s="396"/>
      <c r="F12" s="397"/>
      <c r="G12" s="397"/>
      <c r="H12" s="397"/>
      <c r="I12" s="398"/>
      <c r="J12" s="76" t="str">
        <f>IF(AND('[2]Mapa final'!$Y$48="Muy Alta",'[2]Mapa final'!$AA$48="Leve"),CONCATENATE("R7C",'[2]Mapa final'!$O$48),"")</f>
        <v/>
      </c>
      <c r="K12" s="77" t="str">
        <f>IF(AND('[2]Mapa final'!$Y$49="Muy Alta",'[2]Mapa final'!$AA$49="Leve"),CONCATENATE("R7C",'[2]Mapa final'!$O$49),"")</f>
        <v/>
      </c>
      <c r="L12" s="77" t="str">
        <f>IF(AND('[2]Mapa final'!$Y$50="Muy Alta",'[2]Mapa final'!$AA$50="Leve"),CONCATENATE("R7C",'[2]Mapa final'!$O$50),"")</f>
        <v/>
      </c>
      <c r="M12" s="77" t="str">
        <f>IF(AND('[2]Mapa final'!$Y$51="Muy Alta",'[2]Mapa final'!$AA$51="Leve"),CONCATENATE("R7C",'[2]Mapa final'!$O$51),"")</f>
        <v/>
      </c>
      <c r="N12" s="77" t="str">
        <f>IF(AND('[2]Mapa final'!$Y$52="Muy Alta",'[2]Mapa final'!$AA$52="Leve"),CONCATENATE("R7C",'[2]Mapa final'!$O$52),"")</f>
        <v/>
      </c>
      <c r="O12" s="78" t="str">
        <f>IF(AND('[2]Mapa final'!$Y$53="Muy Alta",'[2]Mapa final'!$AA$53="Leve"),CONCATENATE("R7C",'[2]Mapa final'!$O$53),"")</f>
        <v/>
      </c>
      <c r="P12" s="76" t="str">
        <f>IF(AND('[2]Mapa final'!$Y$48="Muy Alta",'[2]Mapa final'!$AA$48="Menor"),CONCATENATE("R7C",'[2]Mapa final'!$O$48),"")</f>
        <v/>
      </c>
      <c r="Q12" s="77" t="str">
        <f>IF(AND('[2]Mapa final'!$Y$49="Muy Alta",'[2]Mapa final'!$AA$49="Menor"),CONCATENATE("R7C",'[2]Mapa final'!$O$49),"")</f>
        <v/>
      </c>
      <c r="R12" s="77" t="str">
        <f>IF(AND('[2]Mapa final'!$Y$50="Muy Alta",'[2]Mapa final'!$AA$50="Menor"),CONCATENATE("R7C",'[2]Mapa final'!$O$50),"")</f>
        <v/>
      </c>
      <c r="S12" s="77" t="str">
        <f>IF(AND('[2]Mapa final'!$Y$51="Muy Alta",'[2]Mapa final'!$AA$51="Menor"),CONCATENATE("R7C",'[2]Mapa final'!$O$51),"")</f>
        <v/>
      </c>
      <c r="T12" s="77" t="str">
        <f>IF(AND('[2]Mapa final'!$Y$52="Muy Alta",'[2]Mapa final'!$AA$52="Menor"),CONCATENATE("R7C",'[2]Mapa final'!$O$52),"")</f>
        <v/>
      </c>
      <c r="U12" s="78" t="str">
        <f>IF(AND('[2]Mapa final'!$Y$53="Muy Alta",'[2]Mapa final'!$AA$53="Menor"),CONCATENATE("R7C",'[2]Mapa final'!$O$53),"")</f>
        <v/>
      </c>
      <c r="V12" s="76" t="str">
        <f>IF(AND('[2]Mapa final'!$Y$48="Muy Alta",'[2]Mapa final'!$AA$48="Moderado"),CONCATENATE("R7C",'[2]Mapa final'!$O$48),"")</f>
        <v/>
      </c>
      <c r="W12" s="77" t="str">
        <f>IF(AND('[2]Mapa final'!$Y$49="Muy Alta",'[2]Mapa final'!$AA$49="Moderado"),CONCATENATE("R7C",'[2]Mapa final'!$O$49),"")</f>
        <v/>
      </c>
      <c r="X12" s="77" t="str">
        <f>IF(AND('[2]Mapa final'!$Y$50="Muy Alta",'[2]Mapa final'!$AA$50="Moderado"),CONCATENATE("R7C",'[2]Mapa final'!$O$50),"")</f>
        <v/>
      </c>
      <c r="Y12" s="77" t="str">
        <f>IF(AND('[2]Mapa final'!$Y$51="Muy Alta",'[2]Mapa final'!$AA$51="Moderado"),CONCATENATE("R7C",'[2]Mapa final'!$O$51),"")</f>
        <v/>
      </c>
      <c r="Z12" s="77" t="str">
        <f>IF(AND('[2]Mapa final'!$Y$52="Muy Alta",'[2]Mapa final'!$AA$52="Moderado"),CONCATENATE("R7C",'[2]Mapa final'!$O$52),"")</f>
        <v/>
      </c>
      <c r="AA12" s="78" t="str">
        <f>IF(AND('[2]Mapa final'!$Y$53="Muy Alta",'[2]Mapa final'!$AA$53="Moderado"),CONCATENATE("R7C",'[2]Mapa final'!$O$53),"")</f>
        <v/>
      </c>
      <c r="AB12" s="76" t="str">
        <f>IF(AND('[2]Mapa final'!$Y$48="Muy Alta",'[2]Mapa final'!$AA$48="Mayor"),CONCATENATE("R7C",'[2]Mapa final'!$O$48),"")</f>
        <v/>
      </c>
      <c r="AC12" s="77" t="str">
        <f>IF(AND('[2]Mapa final'!$Y$49="Muy Alta",'[2]Mapa final'!$AA$49="Mayor"),CONCATENATE("R7C",'[2]Mapa final'!$O$49),"")</f>
        <v/>
      </c>
      <c r="AD12" s="77" t="str">
        <f>IF(AND('[2]Mapa final'!$Y$50="Muy Alta",'[2]Mapa final'!$AA$50="Mayor"),CONCATENATE("R7C",'[2]Mapa final'!$O$50),"")</f>
        <v/>
      </c>
      <c r="AE12" s="77" t="str">
        <f>IF(AND('[2]Mapa final'!$Y$51="Muy Alta",'[2]Mapa final'!$AA$51="Mayor"),CONCATENATE("R7C",'[2]Mapa final'!$O$51),"")</f>
        <v/>
      </c>
      <c r="AF12" s="77" t="str">
        <f>IF(AND('[2]Mapa final'!$Y$52="Muy Alta",'[2]Mapa final'!$AA$52="Mayor"),CONCATENATE("R7C",'[2]Mapa final'!$O$52),"")</f>
        <v/>
      </c>
      <c r="AG12" s="78" t="str">
        <f>IF(AND('[2]Mapa final'!$Y$53="Muy Alta",'[2]Mapa final'!$AA$53="Mayor"),CONCATENATE("R7C",'[2]Mapa final'!$O$53),"")</f>
        <v/>
      </c>
      <c r="AH12" s="79" t="str">
        <f>IF(AND('[2]Mapa final'!$Y$48="Muy Alta",'[2]Mapa final'!$AA$48="Catastrófico"),CONCATENATE("R7C",'[2]Mapa final'!$O$48),"")</f>
        <v/>
      </c>
      <c r="AI12" s="80" t="str">
        <f>IF(AND('[2]Mapa final'!$Y$49="Muy Alta",'[2]Mapa final'!$AA$49="Catastrófico"),CONCATENATE("R7C",'[2]Mapa final'!$O$49),"")</f>
        <v/>
      </c>
      <c r="AJ12" s="80" t="str">
        <f>IF(AND('[2]Mapa final'!$Y$50="Muy Alta",'[2]Mapa final'!$AA$50="Catastrófico"),CONCATENATE("R7C",'[2]Mapa final'!$O$50),"")</f>
        <v/>
      </c>
      <c r="AK12" s="80" t="str">
        <f>IF(AND('[2]Mapa final'!$Y$51="Muy Alta",'[2]Mapa final'!$AA$51="Catastrófico"),CONCATENATE("R7C",'[2]Mapa final'!$O$51),"")</f>
        <v/>
      </c>
      <c r="AL12" s="80" t="str">
        <f>IF(AND('[2]Mapa final'!$Y$52="Muy Alta",'[2]Mapa final'!$AA$52="Catastrófico"),CONCATENATE("R7C",'[2]Mapa final'!$O$52),"")</f>
        <v/>
      </c>
      <c r="AM12" s="81" t="str">
        <f>IF(AND('[2]Mapa final'!$Y$53="Muy Alta",'[2]Mapa final'!$AA$53="Catastrófico"),CONCATENATE("R7C",'[2]Mapa final'!$O$53),"")</f>
        <v/>
      </c>
      <c r="AN12" s="68"/>
      <c r="AO12" s="411"/>
      <c r="AP12" s="412"/>
      <c r="AQ12" s="412"/>
      <c r="AR12" s="412"/>
      <c r="AS12" s="412"/>
      <c r="AT12" s="413"/>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row>
    <row r="13" spans="1:91" ht="15" customHeight="1">
      <c r="A13" s="68"/>
      <c r="B13" s="406"/>
      <c r="C13" s="406"/>
      <c r="D13" s="407"/>
      <c r="E13" s="396"/>
      <c r="F13" s="397"/>
      <c r="G13" s="397"/>
      <c r="H13" s="397"/>
      <c r="I13" s="398"/>
      <c r="J13" s="76" t="str">
        <f>IF(AND('[2]Mapa final'!$Y$54="Muy Alta",'[2]Mapa final'!$AA$54="Leve"),CONCATENATE("R8C",'[2]Mapa final'!$O$54),"")</f>
        <v/>
      </c>
      <c r="K13" s="77" t="str">
        <f>IF(AND('[2]Mapa final'!$Y$55="Muy Alta",'[2]Mapa final'!$AA$55="Leve"),CONCATENATE("R8C",'[2]Mapa final'!$O$55),"")</f>
        <v/>
      </c>
      <c r="L13" s="77" t="str">
        <f>IF(AND('[2]Mapa final'!$Y$56="Muy Alta",'[2]Mapa final'!$AA$56="Leve"),CONCATENATE("R8C",'[2]Mapa final'!$O$56),"")</f>
        <v/>
      </c>
      <c r="M13" s="77" t="str">
        <f>IF(AND('[2]Mapa final'!$Y$57="Muy Alta",'[2]Mapa final'!$AA$57="Leve"),CONCATENATE("R8C",'[2]Mapa final'!$O$57),"")</f>
        <v/>
      </c>
      <c r="N13" s="77" t="str">
        <f>IF(AND('[2]Mapa final'!$Y$58="Muy Alta",'[2]Mapa final'!$AA$58="Leve"),CONCATENATE("R8C",'[2]Mapa final'!$O$58),"")</f>
        <v/>
      </c>
      <c r="O13" s="78" t="str">
        <f>IF(AND('[2]Mapa final'!$Y$59="Muy Alta",'[2]Mapa final'!$AA$59="Leve"),CONCATENATE("R8C",'[2]Mapa final'!$O$59),"")</f>
        <v/>
      </c>
      <c r="P13" s="76" t="str">
        <f>IF(AND('[2]Mapa final'!$Y$54="Muy Alta",'[2]Mapa final'!$AA$54="Menor"),CONCATENATE("R8C",'[2]Mapa final'!$O$54),"")</f>
        <v/>
      </c>
      <c r="Q13" s="77" t="str">
        <f>IF(AND('[2]Mapa final'!$Y$55="Muy Alta",'[2]Mapa final'!$AA$55="Menor"),CONCATENATE("R8C",'[2]Mapa final'!$O$55),"")</f>
        <v/>
      </c>
      <c r="R13" s="77" t="str">
        <f>IF(AND('[2]Mapa final'!$Y$56="Muy Alta",'[2]Mapa final'!$AA$56="Menor"),CONCATENATE("R8C",'[2]Mapa final'!$O$56),"")</f>
        <v/>
      </c>
      <c r="S13" s="77" t="str">
        <f>IF(AND('[2]Mapa final'!$Y$57="Muy Alta",'[2]Mapa final'!$AA$57="Menor"),CONCATENATE("R8C",'[2]Mapa final'!$O$57),"")</f>
        <v/>
      </c>
      <c r="T13" s="77" t="str">
        <f>IF(AND('[2]Mapa final'!$Y$58="Muy Alta",'[2]Mapa final'!$AA$58="Menor"),CONCATENATE("R8C",'[2]Mapa final'!$O$58),"")</f>
        <v/>
      </c>
      <c r="U13" s="78" t="str">
        <f>IF(AND('[2]Mapa final'!$Y$59="Muy Alta",'[2]Mapa final'!$AA$59="Menor"),CONCATENATE("R8C",'[2]Mapa final'!$O$59),"")</f>
        <v/>
      </c>
      <c r="V13" s="76" t="str">
        <f>IF(AND('[2]Mapa final'!$Y$54="Muy Alta",'[2]Mapa final'!$AA$54="Moderado"),CONCATENATE("R8C",'[2]Mapa final'!$O$54),"")</f>
        <v/>
      </c>
      <c r="W13" s="77" t="str">
        <f>IF(AND('[2]Mapa final'!$Y$55="Muy Alta",'[2]Mapa final'!$AA$55="Moderado"),CONCATENATE("R8C",'[2]Mapa final'!$O$55),"")</f>
        <v/>
      </c>
      <c r="X13" s="77" t="str">
        <f>IF(AND('[2]Mapa final'!$Y$56="Muy Alta",'[2]Mapa final'!$AA$56="Moderado"),CONCATENATE("R8C",'[2]Mapa final'!$O$56),"")</f>
        <v/>
      </c>
      <c r="Y13" s="77" t="str">
        <f>IF(AND('[2]Mapa final'!$Y$57="Muy Alta",'[2]Mapa final'!$AA$57="Moderado"),CONCATENATE("R8C",'[2]Mapa final'!$O$57),"")</f>
        <v/>
      </c>
      <c r="Z13" s="77" t="str">
        <f>IF(AND('[2]Mapa final'!$Y$58="Muy Alta",'[2]Mapa final'!$AA$58="Moderado"),CONCATENATE("R8C",'[2]Mapa final'!$O$58),"")</f>
        <v/>
      </c>
      <c r="AA13" s="78" t="str">
        <f>IF(AND('[2]Mapa final'!$Y$59="Muy Alta",'[2]Mapa final'!$AA$59="Moderado"),CONCATENATE("R8C",'[2]Mapa final'!$O$59),"")</f>
        <v/>
      </c>
      <c r="AB13" s="76" t="str">
        <f>IF(AND('[2]Mapa final'!$Y$54="Muy Alta",'[2]Mapa final'!$AA$54="Mayor"),CONCATENATE("R8C",'[2]Mapa final'!$O$54),"")</f>
        <v/>
      </c>
      <c r="AC13" s="77" t="str">
        <f>IF(AND('[2]Mapa final'!$Y$55="Muy Alta",'[2]Mapa final'!$AA$55="Mayor"),CONCATENATE("R8C",'[2]Mapa final'!$O$55),"")</f>
        <v/>
      </c>
      <c r="AD13" s="77" t="str">
        <f>IF(AND('[2]Mapa final'!$Y$56="Muy Alta",'[2]Mapa final'!$AA$56="Mayor"),CONCATENATE("R8C",'[2]Mapa final'!$O$56),"")</f>
        <v/>
      </c>
      <c r="AE13" s="77" t="str">
        <f>IF(AND('[2]Mapa final'!$Y$57="Muy Alta",'[2]Mapa final'!$AA$57="Mayor"),CONCATENATE("R8C",'[2]Mapa final'!$O$57),"")</f>
        <v/>
      </c>
      <c r="AF13" s="77" t="str">
        <f>IF(AND('[2]Mapa final'!$Y$58="Muy Alta",'[2]Mapa final'!$AA$58="Mayor"),CONCATENATE("R8C",'[2]Mapa final'!$O$58),"")</f>
        <v/>
      </c>
      <c r="AG13" s="78" t="str">
        <f>IF(AND('[2]Mapa final'!$Y$59="Muy Alta",'[2]Mapa final'!$AA$59="Mayor"),CONCATENATE("R8C",'[2]Mapa final'!$O$59),"")</f>
        <v/>
      </c>
      <c r="AH13" s="79" t="str">
        <f>IF(AND('[2]Mapa final'!$Y$54="Muy Alta",'[2]Mapa final'!$AA$54="Catastrófico"),CONCATENATE("R8C",'[2]Mapa final'!$O$54),"")</f>
        <v/>
      </c>
      <c r="AI13" s="80" t="str">
        <f>IF(AND('[2]Mapa final'!$Y$55="Muy Alta",'[2]Mapa final'!$AA$55="Catastrófico"),CONCATENATE("R8C",'[2]Mapa final'!$O$55),"")</f>
        <v/>
      </c>
      <c r="AJ13" s="80" t="str">
        <f>IF(AND('[2]Mapa final'!$Y$56="Muy Alta",'[2]Mapa final'!$AA$56="Catastrófico"),CONCATENATE("R8C",'[2]Mapa final'!$O$56),"")</f>
        <v/>
      </c>
      <c r="AK13" s="80" t="str">
        <f>IF(AND('[2]Mapa final'!$Y$57="Muy Alta",'[2]Mapa final'!$AA$57="Catastrófico"),CONCATENATE("R8C",'[2]Mapa final'!$O$57),"")</f>
        <v/>
      </c>
      <c r="AL13" s="80" t="str">
        <f>IF(AND('[2]Mapa final'!$Y$58="Muy Alta",'[2]Mapa final'!$AA$58="Catastrófico"),CONCATENATE("R8C",'[2]Mapa final'!$O$58),"")</f>
        <v/>
      </c>
      <c r="AM13" s="81" t="str">
        <f>IF(AND('[2]Mapa final'!$Y$59="Muy Alta",'[2]Mapa final'!$AA$59="Catastrófico"),CONCATENATE("R8C",'[2]Mapa final'!$O$59),"")</f>
        <v/>
      </c>
      <c r="AN13" s="68"/>
      <c r="AO13" s="411"/>
      <c r="AP13" s="412"/>
      <c r="AQ13" s="412"/>
      <c r="AR13" s="412"/>
      <c r="AS13" s="412"/>
      <c r="AT13" s="413"/>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row>
    <row r="14" spans="1:91" ht="15" customHeight="1">
      <c r="A14" s="68"/>
      <c r="B14" s="406"/>
      <c r="C14" s="406"/>
      <c r="D14" s="407"/>
      <c r="E14" s="396"/>
      <c r="F14" s="397"/>
      <c r="G14" s="397"/>
      <c r="H14" s="397"/>
      <c r="I14" s="398"/>
      <c r="J14" s="76" t="str">
        <f>IF(AND('[2]Mapa final'!$Y$60="Muy Alta",'[2]Mapa final'!$AA$60="Leve"),CONCATENATE("R9C",'[2]Mapa final'!$O$60),"")</f>
        <v/>
      </c>
      <c r="K14" s="77" t="str">
        <f>IF(AND('[2]Mapa final'!$Y$61="Muy Alta",'[2]Mapa final'!$AA$61="Leve"),CONCATENATE("R9C",'[2]Mapa final'!$O$61),"")</f>
        <v/>
      </c>
      <c r="L14" s="77" t="str">
        <f>IF(AND('[2]Mapa final'!$Y$62="Muy Alta",'[2]Mapa final'!$AA$62="Leve"),CONCATENATE("R9C",'[2]Mapa final'!$O$62),"")</f>
        <v/>
      </c>
      <c r="M14" s="77" t="str">
        <f>IF(AND('[2]Mapa final'!$Y$63="Muy Alta",'[2]Mapa final'!$AA$63="Leve"),CONCATENATE("R9C",'[2]Mapa final'!$O$63),"")</f>
        <v/>
      </c>
      <c r="N14" s="77" t="str">
        <f>IF(AND('[2]Mapa final'!$Y$64="Muy Alta",'[2]Mapa final'!$AA$64="Leve"),CONCATENATE("R9C",'[2]Mapa final'!$O$64),"")</f>
        <v/>
      </c>
      <c r="O14" s="78" t="str">
        <f>IF(AND('[2]Mapa final'!$Y$65="Muy Alta",'[2]Mapa final'!$AA$65="Leve"),CONCATENATE("R9C",'[2]Mapa final'!$O$65),"")</f>
        <v/>
      </c>
      <c r="P14" s="76" t="str">
        <f>IF(AND('[2]Mapa final'!$Y$60="Muy Alta",'[2]Mapa final'!$AA$60="Menor"),CONCATENATE("R9C",'[2]Mapa final'!$O$60),"")</f>
        <v/>
      </c>
      <c r="Q14" s="77" t="str">
        <f>IF(AND('[2]Mapa final'!$Y$61="Muy Alta",'[2]Mapa final'!$AA$61="Menor"),CONCATENATE("R9C",'[2]Mapa final'!$O$61),"")</f>
        <v/>
      </c>
      <c r="R14" s="77" t="str">
        <f>IF(AND('[2]Mapa final'!$Y$62="Muy Alta",'[2]Mapa final'!$AA$62="Menor"),CONCATENATE("R9C",'[2]Mapa final'!$O$62),"")</f>
        <v/>
      </c>
      <c r="S14" s="77" t="str">
        <f>IF(AND('[2]Mapa final'!$Y$63="Muy Alta",'[2]Mapa final'!$AA$63="Menor"),CONCATENATE("R9C",'[2]Mapa final'!$O$63),"")</f>
        <v/>
      </c>
      <c r="T14" s="77" t="str">
        <f>IF(AND('[2]Mapa final'!$Y$64="Muy Alta",'[2]Mapa final'!$AA$64="Menor"),CONCATENATE("R9C",'[2]Mapa final'!$O$64),"")</f>
        <v/>
      </c>
      <c r="U14" s="78" t="str">
        <f>IF(AND('[2]Mapa final'!$Y$65="Muy Alta",'[2]Mapa final'!$AA$65="Menor"),CONCATENATE("R9C",'[2]Mapa final'!$O$65),"")</f>
        <v/>
      </c>
      <c r="V14" s="76" t="str">
        <f>IF(AND('[2]Mapa final'!$Y$60="Muy Alta",'[2]Mapa final'!$AA$60="Moderado"),CONCATENATE("R9C",'[2]Mapa final'!$O$60),"")</f>
        <v/>
      </c>
      <c r="W14" s="77" t="str">
        <f>IF(AND('[2]Mapa final'!$Y$61="Muy Alta",'[2]Mapa final'!$AA$61="Moderado"),CONCATENATE("R9C",'[2]Mapa final'!$O$61),"")</f>
        <v/>
      </c>
      <c r="X14" s="77" t="str">
        <f>IF(AND('[2]Mapa final'!$Y$62="Muy Alta",'[2]Mapa final'!$AA$62="Moderado"),CONCATENATE("R9C",'[2]Mapa final'!$O$62),"")</f>
        <v/>
      </c>
      <c r="Y14" s="77" t="str">
        <f>IF(AND('[2]Mapa final'!$Y$63="Muy Alta",'[2]Mapa final'!$AA$63="Moderado"),CONCATENATE("R9C",'[2]Mapa final'!$O$63),"")</f>
        <v/>
      </c>
      <c r="Z14" s="77" t="str">
        <f>IF(AND('[2]Mapa final'!$Y$64="Muy Alta",'[2]Mapa final'!$AA$64="Moderado"),CONCATENATE("R9C",'[2]Mapa final'!$O$64),"")</f>
        <v/>
      </c>
      <c r="AA14" s="78" t="str">
        <f>IF(AND('[2]Mapa final'!$Y$65="Muy Alta",'[2]Mapa final'!$AA$65="Moderado"),CONCATENATE("R9C",'[2]Mapa final'!$O$65),"")</f>
        <v/>
      </c>
      <c r="AB14" s="76" t="str">
        <f>IF(AND('[2]Mapa final'!$Y$60="Muy Alta",'[2]Mapa final'!$AA$60="Mayor"),CONCATENATE("R9C",'[2]Mapa final'!$O$60),"")</f>
        <v/>
      </c>
      <c r="AC14" s="77" t="str">
        <f>IF(AND('[2]Mapa final'!$Y$61="Muy Alta",'[2]Mapa final'!$AA$61="Mayor"),CONCATENATE("R9C",'[2]Mapa final'!$O$61),"")</f>
        <v/>
      </c>
      <c r="AD14" s="77" t="str">
        <f>IF(AND('[2]Mapa final'!$Y$62="Muy Alta",'[2]Mapa final'!$AA$62="Mayor"),CONCATENATE("R9C",'[2]Mapa final'!$O$62),"")</f>
        <v/>
      </c>
      <c r="AE14" s="77" t="str">
        <f>IF(AND('[2]Mapa final'!$Y$63="Muy Alta",'[2]Mapa final'!$AA$63="Mayor"),CONCATENATE("R9C",'[2]Mapa final'!$O$63),"")</f>
        <v/>
      </c>
      <c r="AF14" s="77" t="str">
        <f>IF(AND('[2]Mapa final'!$Y$64="Muy Alta",'[2]Mapa final'!$AA$64="Mayor"),CONCATENATE("R9C",'[2]Mapa final'!$O$64),"")</f>
        <v/>
      </c>
      <c r="AG14" s="78" t="str">
        <f>IF(AND('[2]Mapa final'!$Y$65="Muy Alta",'[2]Mapa final'!$AA$65="Mayor"),CONCATENATE("R9C",'[2]Mapa final'!$O$65),"")</f>
        <v/>
      </c>
      <c r="AH14" s="79" t="str">
        <f>IF(AND('[2]Mapa final'!$Y$60="Muy Alta",'[2]Mapa final'!$AA$60="Catastrófico"),CONCATENATE("R9C",'[2]Mapa final'!$O$60),"")</f>
        <v/>
      </c>
      <c r="AI14" s="80" t="str">
        <f>IF(AND('[2]Mapa final'!$Y$61="Muy Alta",'[2]Mapa final'!$AA$61="Catastrófico"),CONCATENATE("R9C",'[2]Mapa final'!$O$61),"")</f>
        <v/>
      </c>
      <c r="AJ14" s="80" t="str">
        <f>IF(AND('[2]Mapa final'!$Y$62="Muy Alta",'[2]Mapa final'!$AA$62="Catastrófico"),CONCATENATE("R9C",'[2]Mapa final'!$O$62),"")</f>
        <v/>
      </c>
      <c r="AK14" s="80" t="str">
        <f>IF(AND('[2]Mapa final'!$Y$63="Muy Alta",'[2]Mapa final'!$AA$63="Catastrófico"),CONCATENATE("R9C",'[2]Mapa final'!$O$63),"")</f>
        <v/>
      </c>
      <c r="AL14" s="80" t="str">
        <f>IF(AND('[2]Mapa final'!$Y$64="Muy Alta",'[2]Mapa final'!$AA$64="Catastrófico"),CONCATENATE("R9C",'[2]Mapa final'!$O$64),"")</f>
        <v/>
      </c>
      <c r="AM14" s="81" t="str">
        <f>IF(AND('[2]Mapa final'!$Y$65="Muy Alta",'[2]Mapa final'!$AA$65="Catastrófico"),CONCATENATE("R9C",'[2]Mapa final'!$O$65),"")</f>
        <v/>
      </c>
      <c r="AN14" s="68"/>
      <c r="AO14" s="411"/>
      <c r="AP14" s="412"/>
      <c r="AQ14" s="412"/>
      <c r="AR14" s="412"/>
      <c r="AS14" s="412"/>
      <c r="AT14" s="413"/>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row>
    <row r="15" spans="1:91" ht="15.75" customHeight="1" thickBot="1">
      <c r="A15" s="68"/>
      <c r="B15" s="406"/>
      <c r="C15" s="406"/>
      <c r="D15" s="407"/>
      <c r="E15" s="399"/>
      <c r="F15" s="400"/>
      <c r="G15" s="400"/>
      <c r="H15" s="400"/>
      <c r="I15" s="401"/>
      <c r="J15" s="82" t="str">
        <f>IF(AND('[2]Mapa final'!$Y$66="Muy Alta",'[2]Mapa final'!$AA$66="Leve"),CONCATENATE("R10C",'[2]Mapa final'!$O$66),"")</f>
        <v/>
      </c>
      <c r="K15" s="83" t="str">
        <f>IF(AND('[2]Mapa final'!$Y$67="Muy Alta",'[2]Mapa final'!$AA$67="Leve"),CONCATENATE("R10C",'[2]Mapa final'!$O$67),"")</f>
        <v/>
      </c>
      <c r="L15" s="83" t="str">
        <f>IF(AND('[2]Mapa final'!$Y$68="Muy Alta",'[2]Mapa final'!$AA$68="Leve"),CONCATENATE("R10C",'[2]Mapa final'!$O$68),"")</f>
        <v/>
      </c>
      <c r="M15" s="83" t="str">
        <f>IF(AND('[2]Mapa final'!$Y$69="Muy Alta",'[2]Mapa final'!$AA$69="Leve"),CONCATENATE("R10C",'[2]Mapa final'!$O$69),"")</f>
        <v/>
      </c>
      <c r="N15" s="83" t="str">
        <f>IF(AND('[2]Mapa final'!$Y$70="Muy Alta",'[2]Mapa final'!$AA$70="Leve"),CONCATENATE("R10C",'[2]Mapa final'!$O$70),"")</f>
        <v/>
      </c>
      <c r="O15" s="84" t="str">
        <f>IF(AND('[2]Mapa final'!$Y$71="Muy Alta",'[2]Mapa final'!$AA$71="Leve"),CONCATENATE("R10C",'[2]Mapa final'!$O$71),"")</f>
        <v/>
      </c>
      <c r="P15" s="76" t="str">
        <f>IF(AND('[2]Mapa final'!$Y$66="Muy Alta",'[2]Mapa final'!$AA$66="Menor"),CONCATENATE("R10C",'[2]Mapa final'!$O$66),"")</f>
        <v/>
      </c>
      <c r="Q15" s="77" t="str">
        <f>IF(AND('[2]Mapa final'!$Y$67="Muy Alta",'[2]Mapa final'!$AA$67="Menor"),CONCATENATE("R10C",'[2]Mapa final'!$O$67),"")</f>
        <v/>
      </c>
      <c r="R15" s="77" t="str">
        <f>IF(AND('[2]Mapa final'!$Y$68="Muy Alta",'[2]Mapa final'!$AA$68="Menor"),CONCATENATE("R10C",'[2]Mapa final'!$O$68),"")</f>
        <v/>
      </c>
      <c r="S15" s="77" t="str">
        <f>IF(AND('[2]Mapa final'!$Y$69="Muy Alta",'[2]Mapa final'!$AA$69="Menor"),CONCATENATE("R10C",'[2]Mapa final'!$O$69),"")</f>
        <v/>
      </c>
      <c r="T15" s="77" t="str">
        <f>IF(AND('[2]Mapa final'!$Y$70="Muy Alta",'[2]Mapa final'!$AA$70="Menor"),CONCATENATE("R10C",'[2]Mapa final'!$O$70),"")</f>
        <v/>
      </c>
      <c r="U15" s="78" t="str">
        <f>IF(AND('[2]Mapa final'!$Y$71="Muy Alta",'[2]Mapa final'!$AA$71="Menor"),CONCATENATE("R10C",'[2]Mapa final'!$O$71),"")</f>
        <v/>
      </c>
      <c r="V15" s="82" t="str">
        <f>IF(AND('[2]Mapa final'!$Y$66="Muy Alta",'[2]Mapa final'!$AA$66="Moderado"),CONCATENATE("R10C",'[2]Mapa final'!$O$66),"")</f>
        <v/>
      </c>
      <c r="W15" s="83" t="str">
        <f>IF(AND('[2]Mapa final'!$Y$67="Muy Alta",'[2]Mapa final'!$AA$67="Moderado"),CONCATENATE("R10C",'[2]Mapa final'!$O$67),"")</f>
        <v/>
      </c>
      <c r="X15" s="83" t="str">
        <f>IF(AND('[2]Mapa final'!$Y$68="Muy Alta",'[2]Mapa final'!$AA$68="Moderado"),CONCATENATE("R10C",'[2]Mapa final'!$O$68),"")</f>
        <v/>
      </c>
      <c r="Y15" s="83" t="str">
        <f>IF(AND('[2]Mapa final'!$Y$69="Muy Alta",'[2]Mapa final'!$AA$69="Moderado"),CONCATENATE("R10C",'[2]Mapa final'!$O$69),"")</f>
        <v/>
      </c>
      <c r="Z15" s="83" t="str">
        <f>IF(AND('[2]Mapa final'!$Y$70="Muy Alta",'[2]Mapa final'!$AA$70="Moderado"),CONCATENATE("R10C",'[2]Mapa final'!$O$70),"")</f>
        <v/>
      </c>
      <c r="AA15" s="84" t="str">
        <f>IF(AND('[2]Mapa final'!$Y$71="Muy Alta",'[2]Mapa final'!$AA$71="Moderado"),CONCATENATE("R10C",'[2]Mapa final'!$O$71),"")</f>
        <v/>
      </c>
      <c r="AB15" s="76" t="str">
        <f>IF(AND('[2]Mapa final'!$Y$66="Muy Alta",'[2]Mapa final'!$AA$66="Mayor"),CONCATENATE("R10C",'[2]Mapa final'!$O$66),"")</f>
        <v/>
      </c>
      <c r="AC15" s="77" t="str">
        <f>IF(AND('[2]Mapa final'!$Y$67="Muy Alta",'[2]Mapa final'!$AA$67="Mayor"),CONCATENATE("R10C",'[2]Mapa final'!$O$67),"")</f>
        <v/>
      </c>
      <c r="AD15" s="77" t="str">
        <f>IF(AND('[2]Mapa final'!$Y$68="Muy Alta",'[2]Mapa final'!$AA$68="Mayor"),CONCATENATE("R10C",'[2]Mapa final'!$O$68),"")</f>
        <v/>
      </c>
      <c r="AE15" s="77" t="str">
        <f>IF(AND('[2]Mapa final'!$Y$69="Muy Alta",'[2]Mapa final'!$AA$69="Mayor"),CONCATENATE("R10C",'[2]Mapa final'!$O$69),"")</f>
        <v/>
      </c>
      <c r="AF15" s="77" t="str">
        <f>IF(AND('[2]Mapa final'!$Y$70="Muy Alta",'[2]Mapa final'!$AA$70="Mayor"),CONCATENATE("R10C",'[2]Mapa final'!$O$70),"")</f>
        <v/>
      </c>
      <c r="AG15" s="78" t="str">
        <f>IF(AND('[2]Mapa final'!$Y$71="Muy Alta",'[2]Mapa final'!$AA$71="Mayor"),CONCATENATE("R10C",'[2]Mapa final'!$O$71),"")</f>
        <v/>
      </c>
      <c r="AH15" s="85" t="str">
        <f>IF(AND('[2]Mapa final'!$Y$66="Muy Alta",'[2]Mapa final'!$AA$66="Catastrófico"),CONCATENATE("R10C",'[2]Mapa final'!$O$66),"")</f>
        <v/>
      </c>
      <c r="AI15" s="86" t="str">
        <f>IF(AND('[2]Mapa final'!$Y$67="Muy Alta",'[2]Mapa final'!$AA$67="Catastrófico"),CONCATENATE("R10C",'[2]Mapa final'!$O$67),"")</f>
        <v/>
      </c>
      <c r="AJ15" s="86" t="str">
        <f>IF(AND('[2]Mapa final'!$Y$68="Muy Alta",'[2]Mapa final'!$AA$68="Catastrófico"),CONCATENATE("R10C",'[2]Mapa final'!$O$68),"")</f>
        <v/>
      </c>
      <c r="AK15" s="86" t="str">
        <f>IF(AND('[2]Mapa final'!$Y$69="Muy Alta",'[2]Mapa final'!$AA$69="Catastrófico"),CONCATENATE("R10C",'[2]Mapa final'!$O$69),"")</f>
        <v/>
      </c>
      <c r="AL15" s="86" t="str">
        <f>IF(AND('[2]Mapa final'!$Y$70="Muy Alta",'[2]Mapa final'!$AA$70="Catastrófico"),CONCATENATE("R10C",'[2]Mapa final'!$O$70),"")</f>
        <v/>
      </c>
      <c r="AM15" s="87" t="str">
        <f>IF(AND('[2]Mapa final'!$Y$71="Muy Alta",'[2]Mapa final'!$AA$71="Catastrófico"),CONCATENATE("R10C",'[2]Mapa final'!$O$71),"")</f>
        <v/>
      </c>
      <c r="AN15" s="68"/>
      <c r="AO15" s="414"/>
      <c r="AP15" s="415"/>
      <c r="AQ15" s="415"/>
      <c r="AR15" s="415"/>
      <c r="AS15" s="415"/>
      <c r="AT15" s="416"/>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row>
    <row r="16" spans="1:91" ht="15" customHeight="1">
      <c r="A16" s="68"/>
      <c r="B16" s="406"/>
      <c r="C16" s="406"/>
      <c r="D16" s="407"/>
      <c r="E16" s="393" t="s">
        <v>352</v>
      </c>
      <c r="F16" s="394"/>
      <c r="G16" s="394"/>
      <c r="H16" s="394"/>
      <c r="I16" s="394"/>
      <c r="J16" s="88" t="str">
        <f>IF(AND('[2]Mapa final'!$Y$12="Alta",'[2]Mapa final'!$AA$12="Leve"),CONCATENATE("R1C",'[2]Mapa final'!$O$12),"")</f>
        <v/>
      </c>
      <c r="K16" s="89" t="str">
        <f>IF(AND('[2]Mapa final'!$Y$13="Alta",'[2]Mapa final'!$AA$13="Leve"),CONCATENATE("R1C",'[2]Mapa final'!$O$13),"")</f>
        <v/>
      </c>
      <c r="L16" s="89" t="str">
        <f>IF(AND('[2]Mapa final'!$Y$14="Alta",'[2]Mapa final'!$AA$14="Leve"),CONCATENATE("R1C",'[2]Mapa final'!$O$14),"")</f>
        <v/>
      </c>
      <c r="M16" s="89" t="str">
        <f>IF(AND('[2]Mapa final'!$Y$15="Alta",'[2]Mapa final'!$AA$15="Leve"),CONCATENATE("R1C",'[2]Mapa final'!$O$15),"")</f>
        <v/>
      </c>
      <c r="N16" s="89" t="str">
        <f>IF(AND('[2]Mapa final'!$Y$16="Alta",'[2]Mapa final'!$AA$16="Leve"),CONCATENATE("R1C",'[2]Mapa final'!$O$16),"")</f>
        <v/>
      </c>
      <c r="O16" s="90" t="str">
        <f>IF(AND('[2]Mapa final'!$Y$17="Alta",'[2]Mapa final'!$AA$17="Leve"),CONCATENATE("R1C",'[2]Mapa final'!$O$17),"")</f>
        <v/>
      </c>
      <c r="P16" s="88" t="str">
        <f>IF(AND('[2]Mapa final'!$Y$12="Alta",'[2]Mapa final'!$AA$12="Menor"),CONCATENATE("R1C",'[2]Mapa final'!$O$12),"")</f>
        <v/>
      </c>
      <c r="Q16" s="89" t="str">
        <f>IF(AND('[2]Mapa final'!$Y$13="Alta",'[2]Mapa final'!$AA$13="Menor"),CONCATENATE("R1C",'[2]Mapa final'!$O$13),"")</f>
        <v/>
      </c>
      <c r="R16" s="89" t="str">
        <f>IF(AND('[2]Mapa final'!$Y$14="Alta",'[2]Mapa final'!$AA$14="Menor"),CONCATENATE("R1C",'[2]Mapa final'!$O$14),"")</f>
        <v/>
      </c>
      <c r="S16" s="89" t="str">
        <f>IF(AND('[2]Mapa final'!$Y$15="Alta",'[2]Mapa final'!$AA$15="Menor"),CONCATENATE("R1C",'[2]Mapa final'!$O$15),"")</f>
        <v/>
      </c>
      <c r="T16" s="89" t="str">
        <f>IF(AND('[2]Mapa final'!$Y$16="Alta",'[2]Mapa final'!$AA$16="Menor"),CONCATENATE("R1C",'[2]Mapa final'!$O$16),"")</f>
        <v/>
      </c>
      <c r="U16" s="90" t="str">
        <f>IF(AND('[2]Mapa final'!$Y$17="Alta",'[2]Mapa final'!$AA$17="Menor"),CONCATENATE("R1C",'[2]Mapa final'!$O$17),"")</f>
        <v/>
      </c>
      <c r="V16" s="70" t="str">
        <f>IF(AND('[2]Mapa final'!$Y$12="Alta",'[2]Mapa final'!$AA$12="Moderado"),CONCATENATE("R1C",'[2]Mapa final'!$O$12),"")</f>
        <v/>
      </c>
      <c r="W16" s="71" t="str">
        <f>IF(AND('[2]Mapa final'!$Y$13="Alta",'[2]Mapa final'!$AA$13="Moderado"),CONCATENATE("R1C",'[2]Mapa final'!$O$13),"")</f>
        <v/>
      </c>
      <c r="X16" s="71" t="str">
        <f>IF(AND('[2]Mapa final'!$Y$14="Alta",'[2]Mapa final'!$AA$14="Moderado"),CONCATENATE("R1C",'[2]Mapa final'!$O$14),"")</f>
        <v/>
      </c>
      <c r="Y16" s="71" t="str">
        <f>IF(AND('[2]Mapa final'!$Y$15="Alta",'[2]Mapa final'!$AA$15="Moderado"),CONCATENATE("R1C",'[2]Mapa final'!$O$15),"")</f>
        <v/>
      </c>
      <c r="Z16" s="71" t="str">
        <f>IF(AND('[2]Mapa final'!$Y$16="Alta",'[2]Mapa final'!$AA$16="Moderado"),CONCATENATE("R1C",'[2]Mapa final'!$O$16),"")</f>
        <v/>
      </c>
      <c r="AA16" s="72" t="str">
        <f>IF(AND('[2]Mapa final'!$Y$17="Alta",'[2]Mapa final'!$AA$17="Moderado"),CONCATENATE("R1C",'[2]Mapa final'!$O$17),"")</f>
        <v/>
      </c>
      <c r="AB16" s="70" t="str">
        <f>IF(AND('[2]Mapa final'!$Y$12="Alta",'[2]Mapa final'!$AA$12="Mayor"),CONCATENATE("R1C",'[2]Mapa final'!$O$12),"")</f>
        <v/>
      </c>
      <c r="AC16" s="71" t="str">
        <f>IF(AND('[2]Mapa final'!$Y$13="Alta",'[2]Mapa final'!$AA$13="Mayor"),CONCATENATE("R1C",'[2]Mapa final'!$O$13),"")</f>
        <v/>
      </c>
      <c r="AD16" s="71" t="str">
        <f>IF(AND('[2]Mapa final'!$Y$14="Alta",'[2]Mapa final'!$AA$14="Mayor"),CONCATENATE("R1C",'[2]Mapa final'!$O$14),"")</f>
        <v/>
      </c>
      <c r="AE16" s="71" t="str">
        <f>IF(AND('[2]Mapa final'!$Y$15="Alta",'[2]Mapa final'!$AA$15="Mayor"),CONCATENATE("R1C",'[2]Mapa final'!$O$15),"")</f>
        <v/>
      </c>
      <c r="AF16" s="71" t="str">
        <f>IF(AND('[2]Mapa final'!$Y$16="Alta",'[2]Mapa final'!$AA$16="Mayor"),CONCATENATE("R1C",'[2]Mapa final'!$O$16),"")</f>
        <v/>
      </c>
      <c r="AG16" s="72" t="str">
        <f>IF(AND('[2]Mapa final'!$Y$17="Alta",'[2]Mapa final'!$AA$17="Mayor"),CONCATENATE("R1C",'[2]Mapa final'!$O$17),"")</f>
        <v/>
      </c>
      <c r="AH16" s="73" t="str">
        <f>IF(AND('[2]Mapa final'!$Y$12="Alta",'[2]Mapa final'!$AA$12="Catastrófico"),CONCATENATE("R1C",'[2]Mapa final'!$O$12),"")</f>
        <v/>
      </c>
      <c r="AI16" s="74" t="str">
        <f>IF(AND('[2]Mapa final'!$Y$13="Alta",'[2]Mapa final'!$AA$13="Catastrófico"),CONCATENATE("R1C",'[2]Mapa final'!$O$13),"")</f>
        <v/>
      </c>
      <c r="AJ16" s="74" t="str">
        <f>IF(AND('[2]Mapa final'!$Y$14="Alta",'[2]Mapa final'!$AA$14="Catastrófico"),CONCATENATE("R1C",'[2]Mapa final'!$O$14),"")</f>
        <v/>
      </c>
      <c r="AK16" s="74" t="str">
        <f>IF(AND('[2]Mapa final'!$Y$15="Alta",'[2]Mapa final'!$AA$15="Catastrófico"),CONCATENATE("R1C",'[2]Mapa final'!$O$15),"")</f>
        <v/>
      </c>
      <c r="AL16" s="74" t="str">
        <f>IF(AND('[2]Mapa final'!$Y$16="Alta",'[2]Mapa final'!$AA$16="Catastrófico"),CONCATENATE("R1C",'[2]Mapa final'!$O$16),"")</f>
        <v/>
      </c>
      <c r="AM16" s="75" t="str">
        <f>IF(AND('[2]Mapa final'!$Y$17="Alta",'[2]Mapa final'!$AA$17="Catastrófico"),CONCATENATE("R1C",'[2]Mapa final'!$O$17),"")</f>
        <v/>
      </c>
      <c r="AN16" s="68"/>
      <c r="AO16" s="418" t="s">
        <v>353</v>
      </c>
      <c r="AP16" s="419"/>
      <c r="AQ16" s="419"/>
      <c r="AR16" s="419"/>
      <c r="AS16" s="419"/>
      <c r="AT16" s="420"/>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row>
    <row r="17" spans="1:76" ht="15" customHeight="1">
      <c r="A17" s="68"/>
      <c r="B17" s="406"/>
      <c r="C17" s="406"/>
      <c r="D17" s="407"/>
      <c r="E17" s="417"/>
      <c r="F17" s="397"/>
      <c r="G17" s="397"/>
      <c r="H17" s="397"/>
      <c r="I17" s="397"/>
      <c r="J17" s="91" t="str">
        <f>IF(AND('[2]Mapa final'!$Y$18="Alta",'[2]Mapa final'!$AA$18="Leve"),CONCATENATE("R2C",'[2]Mapa final'!$O$18),"")</f>
        <v/>
      </c>
      <c r="K17" s="92" t="str">
        <f>IF(AND('[2]Mapa final'!$Y$19="Alta",'[2]Mapa final'!$AA$19="Leve"),CONCATENATE("R2C",'[2]Mapa final'!$O$19),"")</f>
        <v/>
      </c>
      <c r="L17" s="92" t="str">
        <f>IF(AND('[2]Mapa final'!$Y$20="Alta",'[2]Mapa final'!$AA$20="Leve"),CONCATENATE("R2C",'[2]Mapa final'!$O$20),"")</f>
        <v/>
      </c>
      <c r="M17" s="92" t="str">
        <f>IF(AND('[2]Mapa final'!$Y$21="Alta",'[2]Mapa final'!$AA$21="Leve"),CONCATENATE("R2C",'[2]Mapa final'!$O$21),"")</f>
        <v/>
      </c>
      <c r="N17" s="92" t="str">
        <f>IF(AND('[2]Mapa final'!$Y$22="Alta",'[2]Mapa final'!$AA$22="Leve"),CONCATENATE("R2C",'[2]Mapa final'!$O$22),"")</f>
        <v/>
      </c>
      <c r="O17" s="93" t="str">
        <f>IF(AND('[2]Mapa final'!$Y$23="Alta",'[2]Mapa final'!$AA$23="Leve"),CONCATENATE("R2C",'[2]Mapa final'!$O$23),"")</f>
        <v/>
      </c>
      <c r="P17" s="91" t="str">
        <f>IF(AND('[2]Mapa final'!$Y$18="Alta",'[2]Mapa final'!$AA$18="Menor"),CONCATENATE("R2C",'[2]Mapa final'!$O$18),"")</f>
        <v/>
      </c>
      <c r="Q17" s="92" t="str">
        <f>IF(AND('[2]Mapa final'!$Y$19="Alta",'[2]Mapa final'!$AA$19="Menor"),CONCATENATE("R2C",'[2]Mapa final'!$O$19),"")</f>
        <v/>
      </c>
      <c r="R17" s="92" t="str">
        <f>IF(AND('[2]Mapa final'!$Y$20="Alta",'[2]Mapa final'!$AA$20="Menor"),CONCATENATE("R2C",'[2]Mapa final'!$O$20),"")</f>
        <v/>
      </c>
      <c r="S17" s="92" t="str">
        <f>IF(AND('[2]Mapa final'!$Y$21="Alta",'[2]Mapa final'!$AA$21="Menor"),CONCATENATE("R2C",'[2]Mapa final'!$O$21),"")</f>
        <v/>
      </c>
      <c r="T17" s="92" t="str">
        <f>IF(AND('[2]Mapa final'!$Y$22="Alta",'[2]Mapa final'!$AA$22="Menor"),CONCATENATE("R2C",'[2]Mapa final'!$O$22),"")</f>
        <v/>
      </c>
      <c r="U17" s="93" t="str">
        <f>IF(AND('[2]Mapa final'!$Y$23="Alta",'[2]Mapa final'!$AA$23="Menor"),CONCATENATE("R2C",'[2]Mapa final'!$O$23),"")</f>
        <v/>
      </c>
      <c r="V17" s="76" t="str">
        <f>IF(AND('[2]Mapa final'!$Y$18="Alta",'[2]Mapa final'!$AA$18="Moderado"),CONCATENATE("R2C",'[2]Mapa final'!$O$18),"")</f>
        <v/>
      </c>
      <c r="W17" s="77" t="str">
        <f>IF(AND('[2]Mapa final'!$Y$19="Alta",'[2]Mapa final'!$AA$19="Moderado"),CONCATENATE("R2C",'[2]Mapa final'!$O$19),"")</f>
        <v/>
      </c>
      <c r="X17" s="77" t="str">
        <f>IF(AND('[2]Mapa final'!$Y$20="Alta",'[2]Mapa final'!$AA$20="Moderado"),CONCATENATE("R2C",'[2]Mapa final'!$O$20),"")</f>
        <v/>
      </c>
      <c r="Y17" s="77" t="str">
        <f>IF(AND('[2]Mapa final'!$Y$21="Alta",'[2]Mapa final'!$AA$21="Moderado"),CONCATENATE("R2C",'[2]Mapa final'!$O$21),"")</f>
        <v/>
      </c>
      <c r="Z17" s="77" t="str">
        <f>IF(AND('[2]Mapa final'!$Y$22="Alta",'[2]Mapa final'!$AA$22="Moderado"),CONCATENATE("R2C",'[2]Mapa final'!$O$22),"")</f>
        <v/>
      </c>
      <c r="AA17" s="78" t="str">
        <f>IF(AND('[2]Mapa final'!$Y$23="Alta",'[2]Mapa final'!$AA$23="Moderado"),CONCATENATE("R2C",'[2]Mapa final'!$O$23),"")</f>
        <v/>
      </c>
      <c r="AB17" s="76" t="str">
        <f>IF(AND('[2]Mapa final'!$Y$18="Alta",'[2]Mapa final'!$AA$18="Mayor"),CONCATENATE("R2C",'[2]Mapa final'!$O$18),"")</f>
        <v/>
      </c>
      <c r="AC17" s="77" t="str">
        <f>IF(AND('[2]Mapa final'!$Y$19="Alta",'[2]Mapa final'!$AA$19="Mayor"),CONCATENATE("R2C",'[2]Mapa final'!$O$19),"")</f>
        <v/>
      </c>
      <c r="AD17" s="77" t="str">
        <f>IF(AND('[2]Mapa final'!$Y$20="Alta",'[2]Mapa final'!$AA$20="Mayor"),CONCATENATE("R2C",'[2]Mapa final'!$O$20),"")</f>
        <v/>
      </c>
      <c r="AE17" s="77" t="str">
        <f>IF(AND('[2]Mapa final'!$Y$21="Alta",'[2]Mapa final'!$AA$21="Mayor"),CONCATENATE("R2C",'[2]Mapa final'!$O$21),"")</f>
        <v/>
      </c>
      <c r="AF17" s="77" t="str">
        <f>IF(AND('[2]Mapa final'!$Y$22="Alta",'[2]Mapa final'!$AA$22="Mayor"),CONCATENATE("R2C",'[2]Mapa final'!$O$22),"")</f>
        <v/>
      </c>
      <c r="AG17" s="78" t="str">
        <f>IF(AND('[2]Mapa final'!$Y$23="Alta",'[2]Mapa final'!$AA$23="Mayor"),CONCATENATE("R2C",'[2]Mapa final'!$O$23),"")</f>
        <v/>
      </c>
      <c r="AH17" s="79" t="str">
        <f>IF(AND('[2]Mapa final'!$Y$18="Alta",'[2]Mapa final'!$AA$18="Catastrófico"),CONCATENATE("R2C",'[2]Mapa final'!$O$18),"")</f>
        <v/>
      </c>
      <c r="AI17" s="80" t="str">
        <f>IF(AND('[2]Mapa final'!$Y$19="Alta",'[2]Mapa final'!$AA$19="Catastrófico"),CONCATENATE("R2C",'[2]Mapa final'!$O$19),"")</f>
        <v/>
      </c>
      <c r="AJ17" s="80" t="str">
        <f>IF(AND('[2]Mapa final'!$Y$20="Alta",'[2]Mapa final'!$AA$20="Catastrófico"),CONCATENATE("R2C",'[2]Mapa final'!$O$20),"")</f>
        <v/>
      </c>
      <c r="AK17" s="80" t="str">
        <f>IF(AND('[2]Mapa final'!$Y$21="Alta",'[2]Mapa final'!$AA$21="Catastrófico"),CONCATENATE("R2C",'[2]Mapa final'!$O$21),"")</f>
        <v/>
      </c>
      <c r="AL17" s="80" t="str">
        <f>IF(AND('[2]Mapa final'!$Y$22="Alta",'[2]Mapa final'!$AA$22="Catastrófico"),CONCATENATE("R2C",'[2]Mapa final'!$O$22),"")</f>
        <v/>
      </c>
      <c r="AM17" s="81" t="str">
        <f>IF(AND('[2]Mapa final'!$Y$23="Alta",'[2]Mapa final'!$AA$23="Catastrófico"),CONCATENATE("R2C",'[2]Mapa final'!$O$23),"")</f>
        <v/>
      </c>
      <c r="AN17" s="68"/>
      <c r="AO17" s="421"/>
      <c r="AP17" s="422"/>
      <c r="AQ17" s="422"/>
      <c r="AR17" s="422"/>
      <c r="AS17" s="422"/>
      <c r="AT17" s="423"/>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row>
    <row r="18" spans="1:76" ht="15" customHeight="1">
      <c r="A18" s="68"/>
      <c r="B18" s="406"/>
      <c r="C18" s="406"/>
      <c r="D18" s="407"/>
      <c r="E18" s="396"/>
      <c r="F18" s="397"/>
      <c r="G18" s="397"/>
      <c r="H18" s="397"/>
      <c r="I18" s="397"/>
      <c r="J18" s="91" t="str">
        <f>IF(AND('[2]Mapa final'!$Y$24="Alta",'[2]Mapa final'!$AA$24="Leve"),CONCATENATE("R3C",'[2]Mapa final'!$O$24),"")</f>
        <v/>
      </c>
      <c r="K18" s="92" t="str">
        <f>IF(AND('[2]Mapa final'!$Y$25="Alta",'[2]Mapa final'!$AA$25="Leve"),CONCATENATE("R3C",'[2]Mapa final'!$O$25),"")</f>
        <v/>
      </c>
      <c r="L18" s="92" t="str">
        <f>IF(AND('[2]Mapa final'!$Y$26="Alta",'[2]Mapa final'!$AA$26="Leve"),CONCATENATE("R3C",'[2]Mapa final'!$O$26),"")</f>
        <v/>
      </c>
      <c r="M18" s="92" t="str">
        <f>IF(AND('[2]Mapa final'!$Y$27="Alta",'[2]Mapa final'!$AA$27="Leve"),CONCATENATE("R3C",'[2]Mapa final'!$O$27),"")</f>
        <v/>
      </c>
      <c r="N18" s="92" t="str">
        <f>IF(AND('[2]Mapa final'!$Y$28="Alta",'[2]Mapa final'!$AA$28="Leve"),CONCATENATE("R3C",'[2]Mapa final'!$O$28),"")</f>
        <v/>
      </c>
      <c r="O18" s="93" t="str">
        <f>IF(AND('[2]Mapa final'!$Y$29="Alta",'[2]Mapa final'!$AA$29="Leve"),CONCATENATE("R3C",'[2]Mapa final'!$O$29),"")</f>
        <v/>
      </c>
      <c r="P18" s="91" t="str">
        <f>IF(AND('[2]Mapa final'!$Y$24="Alta",'[2]Mapa final'!$AA$24="Menor"),CONCATENATE("R3C",'[2]Mapa final'!$O$24),"")</f>
        <v/>
      </c>
      <c r="Q18" s="92" t="str">
        <f>IF(AND('[2]Mapa final'!$Y$25="Alta",'[2]Mapa final'!$AA$25="Menor"),CONCATENATE("R3C",'[2]Mapa final'!$O$25),"")</f>
        <v/>
      </c>
      <c r="R18" s="92" t="str">
        <f>IF(AND('[2]Mapa final'!$Y$26="Alta",'[2]Mapa final'!$AA$26="Menor"),CONCATENATE("R3C",'[2]Mapa final'!$O$26),"")</f>
        <v/>
      </c>
      <c r="S18" s="92" t="str">
        <f>IF(AND('[2]Mapa final'!$Y$27="Alta",'[2]Mapa final'!$AA$27="Menor"),CONCATENATE("R3C",'[2]Mapa final'!$O$27),"")</f>
        <v/>
      </c>
      <c r="T18" s="92" t="str">
        <f>IF(AND('[2]Mapa final'!$Y$28="Alta",'[2]Mapa final'!$AA$28="Menor"),CONCATENATE("R3C",'[2]Mapa final'!$O$28),"")</f>
        <v/>
      </c>
      <c r="U18" s="93" t="str">
        <f>IF(AND('[2]Mapa final'!$Y$29="Alta",'[2]Mapa final'!$AA$29="Menor"),CONCATENATE("R3C",'[2]Mapa final'!$O$29),"")</f>
        <v/>
      </c>
      <c r="V18" s="76" t="str">
        <f>IF(AND('[2]Mapa final'!$Y$24="Alta",'[2]Mapa final'!$AA$24="Moderado"),CONCATENATE("R3C",'[2]Mapa final'!$O$24),"")</f>
        <v/>
      </c>
      <c r="W18" s="77" t="str">
        <f>IF(AND('[2]Mapa final'!$Y$25="Alta",'[2]Mapa final'!$AA$25="Moderado"),CONCATENATE("R3C",'[2]Mapa final'!$O$25),"")</f>
        <v/>
      </c>
      <c r="X18" s="77" t="str">
        <f>IF(AND('[2]Mapa final'!$Y$26="Alta",'[2]Mapa final'!$AA$26="Moderado"),CONCATENATE("R3C",'[2]Mapa final'!$O$26),"")</f>
        <v/>
      </c>
      <c r="Y18" s="77" t="str">
        <f>IF(AND('[2]Mapa final'!$Y$27="Alta",'[2]Mapa final'!$AA$27="Moderado"),CONCATENATE("R3C",'[2]Mapa final'!$O$27),"")</f>
        <v/>
      </c>
      <c r="Z18" s="77" t="str">
        <f>IF(AND('[2]Mapa final'!$Y$28="Alta",'[2]Mapa final'!$AA$28="Moderado"),CONCATENATE("R3C",'[2]Mapa final'!$O$28),"")</f>
        <v/>
      </c>
      <c r="AA18" s="78" t="str">
        <f>IF(AND('[2]Mapa final'!$Y$29="Alta",'[2]Mapa final'!$AA$29="Moderado"),CONCATENATE("R3C",'[2]Mapa final'!$O$29),"")</f>
        <v/>
      </c>
      <c r="AB18" s="76" t="str">
        <f>IF(AND('[2]Mapa final'!$Y$24="Alta",'[2]Mapa final'!$AA$24="Mayor"),CONCATENATE("R3C",'[2]Mapa final'!$O$24),"")</f>
        <v/>
      </c>
      <c r="AC18" s="77" t="str">
        <f>IF(AND('[2]Mapa final'!$Y$25="Alta",'[2]Mapa final'!$AA$25="Mayor"),CONCATENATE("R3C",'[2]Mapa final'!$O$25),"")</f>
        <v/>
      </c>
      <c r="AD18" s="77" t="str">
        <f>IF(AND('[2]Mapa final'!$Y$26="Alta",'[2]Mapa final'!$AA$26="Mayor"),CONCATENATE("R3C",'[2]Mapa final'!$O$26),"")</f>
        <v/>
      </c>
      <c r="AE18" s="77" t="str">
        <f>IF(AND('[2]Mapa final'!$Y$27="Alta",'[2]Mapa final'!$AA$27="Mayor"),CONCATENATE("R3C",'[2]Mapa final'!$O$27),"")</f>
        <v/>
      </c>
      <c r="AF18" s="77" t="str">
        <f>IF(AND('[2]Mapa final'!$Y$28="Alta",'[2]Mapa final'!$AA$28="Mayor"),CONCATENATE("R3C",'[2]Mapa final'!$O$28),"")</f>
        <v/>
      </c>
      <c r="AG18" s="78" t="str">
        <f>IF(AND('[2]Mapa final'!$Y$29="Alta",'[2]Mapa final'!$AA$29="Mayor"),CONCATENATE("R3C",'[2]Mapa final'!$O$29),"")</f>
        <v/>
      </c>
      <c r="AH18" s="79" t="str">
        <f>IF(AND('[2]Mapa final'!$Y$24="Alta",'[2]Mapa final'!$AA$24="Catastrófico"),CONCATENATE("R3C",'[2]Mapa final'!$O$24),"")</f>
        <v/>
      </c>
      <c r="AI18" s="80" t="str">
        <f>IF(AND('[2]Mapa final'!$Y$25="Alta",'[2]Mapa final'!$AA$25="Catastrófico"),CONCATENATE("R3C",'[2]Mapa final'!$O$25),"")</f>
        <v/>
      </c>
      <c r="AJ18" s="80" t="str">
        <f>IF(AND('[2]Mapa final'!$Y$26="Alta",'[2]Mapa final'!$AA$26="Catastrófico"),CONCATENATE("R3C",'[2]Mapa final'!$O$26),"")</f>
        <v/>
      </c>
      <c r="AK18" s="80" t="str">
        <f>IF(AND('[2]Mapa final'!$Y$27="Alta",'[2]Mapa final'!$AA$27="Catastrófico"),CONCATENATE("R3C",'[2]Mapa final'!$O$27),"")</f>
        <v/>
      </c>
      <c r="AL18" s="80" t="str">
        <f>IF(AND('[2]Mapa final'!$Y$28="Alta",'[2]Mapa final'!$AA$28="Catastrófico"),CONCATENATE("R3C",'[2]Mapa final'!$O$28),"")</f>
        <v/>
      </c>
      <c r="AM18" s="81" t="str">
        <f>IF(AND('[2]Mapa final'!$Y$29="Alta",'[2]Mapa final'!$AA$29="Catastrófico"),CONCATENATE("R3C",'[2]Mapa final'!$O$29),"")</f>
        <v/>
      </c>
      <c r="AN18" s="68"/>
      <c r="AO18" s="421"/>
      <c r="AP18" s="422"/>
      <c r="AQ18" s="422"/>
      <c r="AR18" s="422"/>
      <c r="AS18" s="422"/>
      <c r="AT18" s="423"/>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row>
    <row r="19" spans="1:76" ht="15" customHeight="1">
      <c r="A19" s="68"/>
      <c r="B19" s="406"/>
      <c r="C19" s="406"/>
      <c r="D19" s="407"/>
      <c r="E19" s="396"/>
      <c r="F19" s="397"/>
      <c r="G19" s="397"/>
      <c r="H19" s="397"/>
      <c r="I19" s="397"/>
      <c r="J19" s="91" t="e">
        <f>IF(AND('[2]Mapa final'!$Y$30="Alta",'[2]Mapa final'!$AA$30="Leve"),CONCATENATE("R4C",'[2]Mapa final'!$O$30),"")</f>
        <v>#REF!</v>
      </c>
      <c r="K19" s="92" t="str">
        <f>IF(AND('[2]Mapa final'!$Y$31="Alta",'[2]Mapa final'!$AA$31="Leve"),CONCATENATE("R4C",'[2]Mapa final'!$O$31),"")</f>
        <v/>
      </c>
      <c r="L19" s="92" t="str">
        <f>IF(AND('[2]Mapa final'!$Y$32="Alta",'[2]Mapa final'!$AA$32="Leve"),CONCATENATE("R4C",'[2]Mapa final'!$O$32),"")</f>
        <v/>
      </c>
      <c r="M19" s="92" t="str">
        <f>IF(AND('[2]Mapa final'!$Y$33="Alta",'[2]Mapa final'!$AA$33="Leve"),CONCATENATE("R4C",'[2]Mapa final'!$O$33),"")</f>
        <v/>
      </c>
      <c r="N19" s="92" t="str">
        <f>IF(AND('[2]Mapa final'!$Y$34="Alta",'[2]Mapa final'!$AA$34="Leve"),CONCATENATE("R4C",'[2]Mapa final'!$O$34),"")</f>
        <v/>
      </c>
      <c r="O19" s="93" t="str">
        <f>IF(AND('[2]Mapa final'!$Y$35="Alta",'[2]Mapa final'!$AA$35="Leve"),CONCATENATE("R4C",'[2]Mapa final'!$O$35),"")</f>
        <v/>
      </c>
      <c r="P19" s="91" t="e">
        <f>IF(AND('[2]Mapa final'!$Y$30="Alta",'[2]Mapa final'!$AA$30="Menor"),CONCATENATE("R4C",'[2]Mapa final'!$O$30),"")</f>
        <v>#REF!</v>
      </c>
      <c r="Q19" s="92" t="str">
        <f>IF(AND('[2]Mapa final'!$Y$31="Alta",'[2]Mapa final'!$AA$31="Menor"),CONCATENATE("R4C",'[2]Mapa final'!$O$31),"")</f>
        <v/>
      </c>
      <c r="R19" s="92" t="str">
        <f>IF(AND('[2]Mapa final'!$Y$32="Alta",'[2]Mapa final'!$AA$32="Menor"),CONCATENATE("R4C",'[2]Mapa final'!$O$32),"")</f>
        <v/>
      </c>
      <c r="S19" s="92" t="str">
        <f>IF(AND('[2]Mapa final'!$Y$33="Alta",'[2]Mapa final'!$AA$33="Menor"),CONCATENATE("R4C",'[2]Mapa final'!$O$33),"")</f>
        <v/>
      </c>
      <c r="T19" s="92" t="str">
        <f>IF(AND('[2]Mapa final'!$Y$34="Alta",'[2]Mapa final'!$AA$34="Menor"),CONCATENATE("R4C",'[2]Mapa final'!$O$34),"")</f>
        <v/>
      </c>
      <c r="U19" s="93" t="str">
        <f>IF(AND('[2]Mapa final'!$Y$35="Alta",'[2]Mapa final'!$AA$35="Menor"),CONCATENATE("R4C",'[2]Mapa final'!$O$35),"")</f>
        <v/>
      </c>
      <c r="V19" s="76" t="e">
        <f>IF(AND('[2]Mapa final'!$Y$30="Alta",'[2]Mapa final'!$AA$30="Moderado"),CONCATENATE("R4C",'[2]Mapa final'!$O$30),"")</f>
        <v>#REF!</v>
      </c>
      <c r="W19" s="77" t="str">
        <f>IF(AND('[2]Mapa final'!$Y$31="Alta",'[2]Mapa final'!$AA$31="Moderado"),CONCATENATE("R4C",'[2]Mapa final'!$O$31),"")</f>
        <v/>
      </c>
      <c r="X19" s="77" t="str">
        <f>IF(AND('[2]Mapa final'!$Y$32="Alta",'[2]Mapa final'!$AA$32="Moderado"),CONCATENATE("R4C",'[2]Mapa final'!$O$32),"")</f>
        <v/>
      </c>
      <c r="Y19" s="77" t="str">
        <f>IF(AND('[2]Mapa final'!$Y$33="Alta",'[2]Mapa final'!$AA$33="Moderado"),CONCATENATE("R4C",'[2]Mapa final'!$O$33),"")</f>
        <v/>
      </c>
      <c r="Z19" s="77" t="str">
        <f>IF(AND('[2]Mapa final'!$Y$34="Alta",'[2]Mapa final'!$AA$34="Moderado"),CONCATENATE("R4C",'[2]Mapa final'!$O$34),"")</f>
        <v/>
      </c>
      <c r="AA19" s="78" t="str">
        <f>IF(AND('[2]Mapa final'!$Y$35="Alta",'[2]Mapa final'!$AA$35="Moderado"),CONCATENATE("R4C",'[2]Mapa final'!$O$35),"")</f>
        <v/>
      </c>
      <c r="AB19" s="76" t="e">
        <f>IF(AND('[2]Mapa final'!$Y$30="Alta",'[2]Mapa final'!$AA$30="Mayor"),CONCATENATE("R4C",'[2]Mapa final'!$O$30),"")</f>
        <v>#REF!</v>
      </c>
      <c r="AC19" s="77" t="str">
        <f>IF(AND('[2]Mapa final'!$Y$31="Alta",'[2]Mapa final'!$AA$31="Mayor"),CONCATENATE("R4C",'[2]Mapa final'!$O$31),"")</f>
        <v/>
      </c>
      <c r="AD19" s="77" t="str">
        <f>IF(AND('[2]Mapa final'!$Y$32="Alta",'[2]Mapa final'!$AA$32="Mayor"),CONCATENATE("R4C",'[2]Mapa final'!$O$32),"")</f>
        <v/>
      </c>
      <c r="AE19" s="77" t="str">
        <f>IF(AND('[2]Mapa final'!$Y$33="Alta",'[2]Mapa final'!$AA$33="Mayor"),CONCATENATE("R4C",'[2]Mapa final'!$O$33),"")</f>
        <v/>
      </c>
      <c r="AF19" s="77" t="str">
        <f>IF(AND('[2]Mapa final'!$Y$34="Alta",'[2]Mapa final'!$AA$34="Mayor"),CONCATENATE("R4C",'[2]Mapa final'!$O$34),"")</f>
        <v/>
      </c>
      <c r="AG19" s="78" t="str">
        <f>IF(AND('[2]Mapa final'!$Y$35="Alta",'[2]Mapa final'!$AA$35="Mayor"),CONCATENATE("R4C",'[2]Mapa final'!$O$35),"")</f>
        <v/>
      </c>
      <c r="AH19" s="79" t="e">
        <f>IF(AND('[2]Mapa final'!$Y$30="Alta",'[2]Mapa final'!$AA$30="Catastrófico"),CONCATENATE("R4C",'[2]Mapa final'!$O$30),"")</f>
        <v>#REF!</v>
      </c>
      <c r="AI19" s="80" t="str">
        <f>IF(AND('[2]Mapa final'!$Y$31="Alta",'[2]Mapa final'!$AA$31="Catastrófico"),CONCATENATE("R4C",'[2]Mapa final'!$O$31),"")</f>
        <v/>
      </c>
      <c r="AJ19" s="80" t="str">
        <f>IF(AND('[2]Mapa final'!$Y$32="Alta",'[2]Mapa final'!$AA$32="Catastrófico"),CONCATENATE("R4C",'[2]Mapa final'!$O$32),"")</f>
        <v/>
      </c>
      <c r="AK19" s="80" t="str">
        <f>IF(AND('[2]Mapa final'!$Y$33="Alta",'[2]Mapa final'!$AA$33="Catastrófico"),CONCATENATE("R4C",'[2]Mapa final'!$O$33),"")</f>
        <v/>
      </c>
      <c r="AL19" s="80" t="str">
        <f>IF(AND('[2]Mapa final'!$Y$34="Alta",'[2]Mapa final'!$AA$34="Catastrófico"),CONCATENATE("R4C",'[2]Mapa final'!$O$34),"")</f>
        <v/>
      </c>
      <c r="AM19" s="81" t="str">
        <f>IF(AND('[2]Mapa final'!$Y$35="Alta",'[2]Mapa final'!$AA$35="Catastrófico"),CONCATENATE("R4C",'[2]Mapa final'!$O$35),"")</f>
        <v/>
      </c>
      <c r="AN19" s="68"/>
      <c r="AO19" s="421"/>
      <c r="AP19" s="422"/>
      <c r="AQ19" s="422"/>
      <c r="AR19" s="422"/>
      <c r="AS19" s="422"/>
      <c r="AT19" s="423"/>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row>
    <row r="20" spans="1:76" ht="15" customHeight="1">
      <c r="A20" s="68"/>
      <c r="B20" s="406"/>
      <c r="C20" s="406"/>
      <c r="D20" s="407"/>
      <c r="E20" s="396"/>
      <c r="F20" s="397"/>
      <c r="G20" s="397"/>
      <c r="H20" s="397"/>
      <c r="I20" s="397"/>
      <c r="J20" s="91" t="str">
        <f>IF(AND('[2]Mapa final'!$Y$36="Alta",'[2]Mapa final'!$AA$36="Leve"),CONCATENATE("R5C",'[2]Mapa final'!$O$36),"")</f>
        <v/>
      </c>
      <c r="K20" s="92" t="str">
        <f>IF(AND('[2]Mapa final'!$Y$37="Alta",'[2]Mapa final'!$AA$37="Leve"),CONCATENATE("R5C",'[2]Mapa final'!$O$37),"")</f>
        <v/>
      </c>
      <c r="L20" s="92" t="str">
        <f>IF(AND('[2]Mapa final'!$Y$38="Alta",'[2]Mapa final'!$AA$38="Leve"),CONCATENATE("R5C",'[2]Mapa final'!$O$38),"")</f>
        <v/>
      </c>
      <c r="M20" s="92" t="str">
        <f>IF(AND('[2]Mapa final'!$Y$39="Alta",'[2]Mapa final'!$AA$39="Leve"),CONCATENATE("R5C",'[2]Mapa final'!$O$39),"")</f>
        <v/>
      </c>
      <c r="N20" s="92" t="str">
        <f>IF(AND('[2]Mapa final'!$Y$40="Alta",'[2]Mapa final'!$AA$40="Leve"),CONCATENATE("R5C",'[2]Mapa final'!$O$40),"")</f>
        <v/>
      </c>
      <c r="O20" s="93" t="str">
        <f>IF(AND('[2]Mapa final'!$Y$41="Alta",'[2]Mapa final'!$AA$41="Leve"),CONCATENATE("R5C",'[2]Mapa final'!$O$41),"")</f>
        <v/>
      </c>
      <c r="P20" s="91" t="str">
        <f>IF(AND('[2]Mapa final'!$Y$36="Alta",'[2]Mapa final'!$AA$36="Menor"),CONCATENATE("R5C",'[2]Mapa final'!$O$36),"")</f>
        <v/>
      </c>
      <c r="Q20" s="92" t="str">
        <f>IF(AND('[2]Mapa final'!$Y$37="Alta",'[2]Mapa final'!$AA$37="Menor"),CONCATENATE("R5C",'[2]Mapa final'!$O$37),"")</f>
        <v/>
      </c>
      <c r="R20" s="92" t="str">
        <f>IF(AND('[2]Mapa final'!$Y$38="Alta",'[2]Mapa final'!$AA$38="Menor"),CONCATENATE("R5C",'[2]Mapa final'!$O$38),"")</f>
        <v/>
      </c>
      <c r="S20" s="92" t="str">
        <f>IF(AND('[2]Mapa final'!$Y$39="Alta",'[2]Mapa final'!$AA$39="Menor"),CONCATENATE("R5C",'[2]Mapa final'!$O$39),"")</f>
        <v/>
      </c>
      <c r="T20" s="92" t="str">
        <f>IF(AND('[2]Mapa final'!$Y$40="Alta",'[2]Mapa final'!$AA$40="Menor"),CONCATENATE("R5C",'[2]Mapa final'!$O$40),"")</f>
        <v/>
      </c>
      <c r="U20" s="93" t="str">
        <f>IF(AND('[2]Mapa final'!$Y$41="Alta",'[2]Mapa final'!$AA$41="Menor"),CONCATENATE("R5C",'[2]Mapa final'!$O$41),"")</f>
        <v/>
      </c>
      <c r="V20" s="76" t="str">
        <f>IF(AND('[2]Mapa final'!$Y$36="Alta",'[2]Mapa final'!$AA$36="Moderado"),CONCATENATE("R5C",'[2]Mapa final'!$O$36),"")</f>
        <v/>
      </c>
      <c r="W20" s="77" t="str">
        <f>IF(AND('[2]Mapa final'!$Y$37="Alta",'[2]Mapa final'!$AA$37="Moderado"),CONCATENATE("R5C",'[2]Mapa final'!$O$37),"")</f>
        <v/>
      </c>
      <c r="X20" s="77" t="str">
        <f>IF(AND('[2]Mapa final'!$Y$38="Alta",'[2]Mapa final'!$AA$38="Moderado"),CONCATENATE("R5C",'[2]Mapa final'!$O$38),"")</f>
        <v/>
      </c>
      <c r="Y20" s="77" t="str">
        <f>IF(AND('[2]Mapa final'!$Y$39="Alta",'[2]Mapa final'!$AA$39="Moderado"),CONCATENATE("R5C",'[2]Mapa final'!$O$39),"")</f>
        <v/>
      </c>
      <c r="Z20" s="77" t="str">
        <f>IF(AND('[2]Mapa final'!$Y$40="Alta",'[2]Mapa final'!$AA$40="Moderado"),CONCATENATE("R5C",'[2]Mapa final'!$O$40),"")</f>
        <v/>
      </c>
      <c r="AA20" s="78" t="str">
        <f>IF(AND('[2]Mapa final'!$Y$41="Alta",'[2]Mapa final'!$AA$41="Moderado"),CONCATENATE("R5C",'[2]Mapa final'!$O$41),"")</f>
        <v/>
      </c>
      <c r="AB20" s="76" t="str">
        <f>IF(AND('[2]Mapa final'!$Y$36="Alta",'[2]Mapa final'!$AA$36="Mayor"),CONCATENATE("R5C",'[2]Mapa final'!$O$36),"")</f>
        <v/>
      </c>
      <c r="AC20" s="77" t="str">
        <f>IF(AND('[2]Mapa final'!$Y$37="Alta",'[2]Mapa final'!$AA$37="Mayor"),CONCATENATE("R5C",'[2]Mapa final'!$O$37),"")</f>
        <v/>
      </c>
      <c r="AD20" s="77" t="str">
        <f>IF(AND('[2]Mapa final'!$Y$38="Alta",'[2]Mapa final'!$AA$38="Mayor"),CONCATENATE("R5C",'[2]Mapa final'!$O$38),"")</f>
        <v/>
      </c>
      <c r="AE20" s="77" t="str">
        <f>IF(AND('[2]Mapa final'!$Y$39="Alta",'[2]Mapa final'!$AA$39="Mayor"),CONCATENATE("R5C",'[2]Mapa final'!$O$39),"")</f>
        <v/>
      </c>
      <c r="AF20" s="77" t="str">
        <f>IF(AND('[2]Mapa final'!$Y$40="Alta",'[2]Mapa final'!$AA$40="Mayor"),CONCATENATE("R5C",'[2]Mapa final'!$O$40),"")</f>
        <v/>
      </c>
      <c r="AG20" s="78" t="str">
        <f>IF(AND('[2]Mapa final'!$Y$41="Alta",'[2]Mapa final'!$AA$41="Mayor"),CONCATENATE("R5C",'[2]Mapa final'!$O$41),"")</f>
        <v/>
      </c>
      <c r="AH20" s="79" t="str">
        <f>IF(AND('[2]Mapa final'!$Y$36="Alta",'[2]Mapa final'!$AA$36="Catastrófico"),CONCATENATE("R5C",'[2]Mapa final'!$O$36),"")</f>
        <v/>
      </c>
      <c r="AI20" s="80" t="str">
        <f>IF(AND('[2]Mapa final'!$Y$37="Alta",'[2]Mapa final'!$AA$37="Catastrófico"),CONCATENATE("R5C",'[2]Mapa final'!$O$37),"")</f>
        <v/>
      </c>
      <c r="AJ20" s="80" t="str">
        <f>IF(AND('[2]Mapa final'!$Y$38="Alta",'[2]Mapa final'!$AA$38="Catastrófico"),CONCATENATE("R5C",'[2]Mapa final'!$O$38),"")</f>
        <v/>
      </c>
      <c r="AK20" s="80" t="str">
        <f>IF(AND('[2]Mapa final'!$Y$39="Alta",'[2]Mapa final'!$AA$39="Catastrófico"),CONCATENATE("R5C",'[2]Mapa final'!$O$39),"")</f>
        <v/>
      </c>
      <c r="AL20" s="80" t="str">
        <f>IF(AND('[2]Mapa final'!$Y$40="Alta",'[2]Mapa final'!$AA$40="Catastrófico"),CONCATENATE("R5C",'[2]Mapa final'!$O$40),"")</f>
        <v/>
      </c>
      <c r="AM20" s="81" t="str">
        <f>IF(AND('[2]Mapa final'!$Y$41="Alta",'[2]Mapa final'!$AA$41="Catastrófico"),CONCATENATE("R5C",'[2]Mapa final'!$O$41),"")</f>
        <v/>
      </c>
      <c r="AN20" s="68"/>
      <c r="AO20" s="421"/>
      <c r="AP20" s="422"/>
      <c r="AQ20" s="422"/>
      <c r="AR20" s="422"/>
      <c r="AS20" s="422"/>
      <c r="AT20" s="423"/>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row>
    <row r="21" spans="1:76" ht="15" customHeight="1">
      <c r="A21" s="68"/>
      <c r="B21" s="406"/>
      <c r="C21" s="406"/>
      <c r="D21" s="407"/>
      <c r="E21" s="396"/>
      <c r="F21" s="397"/>
      <c r="G21" s="397"/>
      <c r="H21" s="397"/>
      <c r="I21" s="397"/>
      <c r="J21" s="91" t="str">
        <f>IF(AND('[2]Mapa final'!$Y$42="Alta",'[2]Mapa final'!$AA$42="Leve"),CONCATENATE("R6C",'[2]Mapa final'!$O$42),"")</f>
        <v/>
      </c>
      <c r="K21" s="92" t="str">
        <f>IF(AND('[2]Mapa final'!$Y$43="Alta",'[2]Mapa final'!$AA$43="Leve"),CONCATENATE("R6C",'[2]Mapa final'!$O$43),"")</f>
        <v/>
      </c>
      <c r="L21" s="92" t="str">
        <f>IF(AND('[2]Mapa final'!$Y$44="Alta",'[2]Mapa final'!$AA$44="Leve"),CONCATENATE("R6C",'[2]Mapa final'!$O$44),"")</f>
        <v/>
      </c>
      <c r="M21" s="92" t="str">
        <f>IF(AND('[2]Mapa final'!$Y$45="Alta",'[2]Mapa final'!$AA$45="Leve"),CONCATENATE("R6C",'[2]Mapa final'!$O$45),"")</f>
        <v/>
      </c>
      <c r="N21" s="92" t="str">
        <f>IF(AND('[2]Mapa final'!$Y$46="Alta",'[2]Mapa final'!$AA$46="Leve"),CONCATENATE("R6C",'[2]Mapa final'!$O$46),"")</f>
        <v/>
      </c>
      <c r="O21" s="93" t="str">
        <f>IF(AND('[2]Mapa final'!$Y$47="Alta",'[2]Mapa final'!$AA$47="Leve"),CONCATENATE("R6C",'[2]Mapa final'!$O$47),"")</f>
        <v/>
      </c>
      <c r="P21" s="91" t="str">
        <f>IF(AND('[2]Mapa final'!$Y$42="Alta",'[2]Mapa final'!$AA$42="Menor"),CONCATENATE("R6C",'[2]Mapa final'!$O$42),"")</f>
        <v/>
      </c>
      <c r="Q21" s="92" t="str">
        <f>IF(AND('[2]Mapa final'!$Y$43="Alta",'[2]Mapa final'!$AA$43="Menor"),CONCATENATE("R6C",'[2]Mapa final'!$O$43),"")</f>
        <v/>
      </c>
      <c r="R21" s="92" t="str">
        <f>IF(AND('[2]Mapa final'!$Y$44="Alta",'[2]Mapa final'!$AA$44="Menor"),CONCATENATE("R6C",'[2]Mapa final'!$O$44),"")</f>
        <v/>
      </c>
      <c r="S21" s="92" t="str">
        <f>IF(AND('[2]Mapa final'!$Y$45="Alta",'[2]Mapa final'!$AA$45="Menor"),CONCATENATE("R6C",'[2]Mapa final'!$O$45),"")</f>
        <v/>
      </c>
      <c r="T21" s="92" t="str">
        <f>IF(AND('[2]Mapa final'!$Y$46="Alta",'[2]Mapa final'!$AA$46="Menor"),CONCATENATE("R6C",'[2]Mapa final'!$O$46),"")</f>
        <v/>
      </c>
      <c r="U21" s="93" t="str">
        <f>IF(AND('[2]Mapa final'!$Y$47="Alta",'[2]Mapa final'!$AA$47="Menor"),CONCATENATE("R6C",'[2]Mapa final'!$O$47),"")</f>
        <v/>
      </c>
      <c r="V21" s="76" t="str">
        <f>IF(AND('[2]Mapa final'!$Y$42="Alta",'[2]Mapa final'!$AA$42="Moderado"),CONCATENATE("R6C",'[2]Mapa final'!$O$42),"")</f>
        <v/>
      </c>
      <c r="W21" s="77" t="str">
        <f>IF(AND('[2]Mapa final'!$Y$43="Alta",'[2]Mapa final'!$AA$43="Moderado"),CONCATENATE("R6C",'[2]Mapa final'!$O$43),"")</f>
        <v/>
      </c>
      <c r="X21" s="77" t="str">
        <f>IF(AND('[2]Mapa final'!$Y$44="Alta",'[2]Mapa final'!$AA$44="Moderado"),CONCATENATE("R6C",'[2]Mapa final'!$O$44),"")</f>
        <v/>
      </c>
      <c r="Y21" s="77" t="str">
        <f>IF(AND('[2]Mapa final'!$Y$45="Alta",'[2]Mapa final'!$AA$45="Moderado"),CONCATENATE("R6C",'[2]Mapa final'!$O$45),"")</f>
        <v/>
      </c>
      <c r="Z21" s="77" t="str">
        <f>IF(AND('[2]Mapa final'!$Y$46="Alta",'[2]Mapa final'!$AA$46="Moderado"),CONCATENATE("R6C",'[2]Mapa final'!$O$46),"")</f>
        <v/>
      </c>
      <c r="AA21" s="78" t="str">
        <f>IF(AND('[2]Mapa final'!$Y$47="Alta",'[2]Mapa final'!$AA$47="Moderado"),CONCATENATE("R6C",'[2]Mapa final'!$O$47),"")</f>
        <v/>
      </c>
      <c r="AB21" s="76" t="str">
        <f>IF(AND('[2]Mapa final'!$Y$42="Alta",'[2]Mapa final'!$AA$42="Mayor"),CONCATENATE("R6C",'[2]Mapa final'!$O$42),"")</f>
        <v/>
      </c>
      <c r="AC21" s="77" t="str">
        <f>IF(AND('[2]Mapa final'!$Y$43="Alta",'[2]Mapa final'!$AA$43="Mayor"),CONCATENATE("R6C",'[2]Mapa final'!$O$43),"")</f>
        <v/>
      </c>
      <c r="AD21" s="77" t="str">
        <f>IF(AND('[2]Mapa final'!$Y$44="Alta",'[2]Mapa final'!$AA$44="Mayor"),CONCATENATE("R6C",'[2]Mapa final'!$O$44),"")</f>
        <v/>
      </c>
      <c r="AE21" s="77" t="str">
        <f>IF(AND('[2]Mapa final'!$Y$45="Alta",'[2]Mapa final'!$AA$45="Mayor"),CONCATENATE("R6C",'[2]Mapa final'!$O$45),"")</f>
        <v/>
      </c>
      <c r="AF21" s="77" t="str">
        <f>IF(AND('[2]Mapa final'!$Y$46="Alta",'[2]Mapa final'!$AA$46="Mayor"),CONCATENATE("R6C",'[2]Mapa final'!$O$46),"")</f>
        <v/>
      </c>
      <c r="AG21" s="78" t="str">
        <f>IF(AND('[2]Mapa final'!$Y$47="Alta",'[2]Mapa final'!$AA$47="Mayor"),CONCATENATE("R6C",'[2]Mapa final'!$O$47),"")</f>
        <v/>
      </c>
      <c r="AH21" s="79" t="str">
        <f>IF(AND('[2]Mapa final'!$Y$42="Alta",'[2]Mapa final'!$AA$42="Catastrófico"),CONCATENATE("R6C",'[2]Mapa final'!$O$42),"")</f>
        <v/>
      </c>
      <c r="AI21" s="80" t="str">
        <f>IF(AND('[2]Mapa final'!$Y$43="Alta",'[2]Mapa final'!$AA$43="Catastrófico"),CONCATENATE("R6C",'[2]Mapa final'!$O$43),"")</f>
        <v/>
      </c>
      <c r="AJ21" s="80" t="str">
        <f>IF(AND('[2]Mapa final'!$Y$44="Alta",'[2]Mapa final'!$AA$44="Catastrófico"),CONCATENATE("R6C",'[2]Mapa final'!$O$44),"")</f>
        <v/>
      </c>
      <c r="AK21" s="80" t="str">
        <f>IF(AND('[2]Mapa final'!$Y$45="Alta",'[2]Mapa final'!$AA$45="Catastrófico"),CONCATENATE("R6C",'[2]Mapa final'!$O$45),"")</f>
        <v/>
      </c>
      <c r="AL21" s="80" t="str">
        <f>IF(AND('[2]Mapa final'!$Y$46="Alta",'[2]Mapa final'!$AA$46="Catastrófico"),CONCATENATE("R6C",'[2]Mapa final'!$O$46),"")</f>
        <v/>
      </c>
      <c r="AM21" s="81" t="str">
        <f>IF(AND('[2]Mapa final'!$Y$47="Alta",'[2]Mapa final'!$AA$47="Catastrófico"),CONCATENATE("R6C",'[2]Mapa final'!$O$47),"")</f>
        <v/>
      </c>
      <c r="AN21" s="68"/>
      <c r="AO21" s="421"/>
      <c r="AP21" s="422"/>
      <c r="AQ21" s="422"/>
      <c r="AR21" s="422"/>
      <c r="AS21" s="422"/>
      <c r="AT21" s="423"/>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row>
    <row r="22" spans="1:76" ht="15" customHeight="1">
      <c r="A22" s="68"/>
      <c r="B22" s="406"/>
      <c r="C22" s="406"/>
      <c r="D22" s="407"/>
      <c r="E22" s="396"/>
      <c r="F22" s="397"/>
      <c r="G22" s="397"/>
      <c r="H22" s="397"/>
      <c r="I22" s="397"/>
      <c r="J22" s="91" t="str">
        <f>IF(AND('[2]Mapa final'!$Y$48="Alta",'[2]Mapa final'!$AA$48="Leve"),CONCATENATE("R7C",'[2]Mapa final'!$O$48),"")</f>
        <v/>
      </c>
      <c r="K22" s="92" t="str">
        <f>IF(AND('[2]Mapa final'!$Y$49="Alta",'[2]Mapa final'!$AA$49="Leve"),CONCATENATE("R7C",'[2]Mapa final'!$O$49),"")</f>
        <v/>
      </c>
      <c r="L22" s="92" t="str">
        <f>IF(AND('[2]Mapa final'!$Y$50="Alta",'[2]Mapa final'!$AA$50="Leve"),CONCATENATE("R7C",'[2]Mapa final'!$O$50),"")</f>
        <v/>
      </c>
      <c r="M22" s="92" t="str">
        <f>IF(AND('[2]Mapa final'!$Y$51="Alta",'[2]Mapa final'!$AA$51="Leve"),CONCATENATE("R7C",'[2]Mapa final'!$O$51),"")</f>
        <v/>
      </c>
      <c r="N22" s="92" t="str">
        <f>IF(AND('[2]Mapa final'!$Y$52="Alta",'[2]Mapa final'!$AA$52="Leve"),CONCATENATE("R7C",'[2]Mapa final'!$O$52),"")</f>
        <v/>
      </c>
      <c r="O22" s="93" t="str">
        <f>IF(AND('[2]Mapa final'!$Y$53="Alta",'[2]Mapa final'!$AA$53="Leve"),CONCATENATE("R7C",'[2]Mapa final'!$O$53),"")</f>
        <v/>
      </c>
      <c r="P22" s="91" t="str">
        <f>IF(AND('[2]Mapa final'!$Y$48="Alta",'[2]Mapa final'!$AA$48="Menor"),CONCATENATE("R7C",'[2]Mapa final'!$O$48),"")</f>
        <v/>
      </c>
      <c r="Q22" s="92" t="str">
        <f>IF(AND('[2]Mapa final'!$Y$49="Alta",'[2]Mapa final'!$AA$49="Menor"),CONCATENATE("R7C",'[2]Mapa final'!$O$49),"")</f>
        <v/>
      </c>
      <c r="R22" s="92" t="str">
        <f>IF(AND('[2]Mapa final'!$Y$50="Alta",'[2]Mapa final'!$AA$50="Menor"),CONCATENATE("R7C",'[2]Mapa final'!$O$50),"")</f>
        <v/>
      </c>
      <c r="S22" s="92" t="str">
        <f>IF(AND('[2]Mapa final'!$Y$51="Alta",'[2]Mapa final'!$AA$51="Menor"),CONCATENATE("R7C",'[2]Mapa final'!$O$51),"")</f>
        <v/>
      </c>
      <c r="T22" s="92" t="str">
        <f>IF(AND('[2]Mapa final'!$Y$52="Alta",'[2]Mapa final'!$AA$52="Menor"),CONCATENATE("R7C",'[2]Mapa final'!$O$52),"")</f>
        <v/>
      </c>
      <c r="U22" s="93" t="str">
        <f>IF(AND('[2]Mapa final'!$Y$53="Alta",'[2]Mapa final'!$AA$53="Menor"),CONCATENATE("R7C",'[2]Mapa final'!$O$53),"")</f>
        <v/>
      </c>
      <c r="V22" s="76" t="str">
        <f>IF(AND('[2]Mapa final'!$Y$48="Alta",'[2]Mapa final'!$AA$48="Moderado"),CONCATENATE("R7C",'[2]Mapa final'!$O$48),"")</f>
        <v/>
      </c>
      <c r="W22" s="77" t="str">
        <f>IF(AND('[2]Mapa final'!$Y$49="Alta",'[2]Mapa final'!$AA$49="Moderado"),CONCATENATE("R7C",'[2]Mapa final'!$O$49),"")</f>
        <v/>
      </c>
      <c r="X22" s="77" t="str">
        <f>IF(AND('[2]Mapa final'!$Y$50="Alta",'[2]Mapa final'!$AA$50="Moderado"),CONCATENATE("R7C",'[2]Mapa final'!$O$50),"")</f>
        <v/>
      </c>
      <c r="Y22" s="77" t="str">
        <f>IF(AND('[2]Mapa final'!$Y$51="Alta",'[2]Mapa final'!$AA$51="Moderado"),CONCATENATE("R7C",'[2]Mapa final'!$O$51),"")</f>
        <v/>
      </c>
      <c r="Z22" s="77" t="str">
        <f>IF(AND('[2]Mapa final'!$Y$52="Alta",'[2]Mapa final'!$AA$52="Moderado"),CONCATENATE("R7C",'[2]Mapa final'!$O$52),"")</f>
        <v/>
      </c>
      <c r="AA22" s="78" t="str">
        <f>IF(AND('[2]Mapa final'!$Y$53="Alta",'[2]Mapa final'!$AA$53="Moderado"),CONCATENATE("R7C",'[2]Mapa final'!$O$53),"")</f>
        <v/>
      </c>
      <c r="AB22" s="76" t="str">
        <f>IF(AND('[2]Mapa final'!$Y$48="Alta",'[2]Mapa final'!$AA$48="Mayor"),CONCATENATE("R7C",'[2]Mapa final'!$O$48),"")</f>
        <v/>
      </c>
      <c r="AC22" s="77" t="str">
        <f>IF(AND('[2]Mapa final'!$Y$49="Alta",'[2]Mapa final'!$AA$49="Mayor"),CONCATENATE("R7C",'[2]Mapa final'!$O$49),"")</f>
        <v/>
      </c>
      <c r="AD22" s="77" t="str">
        <f>IF(AND('[2]Mapa final'!$Y$50="Alta",'[2]Mapa final'!$AA$50="Mayor"),CONCATENATE("R7C",'[2]Mapa final'!$O$50),"")</f>
        <v/>
      </c>
      <c r="AE22" s="77" t="str">
        <f>IF(AND('[2]Mapa final'!$Y$51="Alta",'[2]Mapa final'!$AA$51="Mayor"),CONCATENATE("R7C",'[2]Mapa final'!$O$51),"")</f>
        <v/>
      </c>
      <c r="AF22" s="77" t="str">
        <f>IF(AND('[2]Mapa final'!$Y$52="Alta",'[2]Mapa final'!$AA$52="Mayor"),CONCATENATE("R7C",'[2]Mapa final'!$O$52),"")</f>
        <v/>
      </c>
      <c r="AG22" s="78" t="str">
        <f>IF(AND('[2]Mapa final'!$Y$53="Alta",'[2]Mapa final'!$AA$53="Mayor"),CONCATENATE("R7C",'[2]Mapa final'!$O$53),"")</f>
        <v/>
      </c>
      <c r="AH22" s="79" t="str">
        <f>IF(AND('[2]Mapa final'!$Y$48="Alta",'[2]Mapa final'!$AA$48="Catastrófico"),CONCATENATE("R7C",'[2]Mapa final'!$O$48),"")</f>
        <v/>
      </c>
      <c r="AI22" s="80" t="str">
        <f>IF(AND('[2]Mapa final'!$Y$49="Alta",'[2]Mapa final'!$AA$49="Catastrófico"),CONCATENATE("R7C",'[2]Mapa final'!$O$49),"")</f>
        <v/>
      </c>
      <c r="AJ22" s="80" t="str">
        <f>IF(AND('[2]Mapa final'!$Y$50="Alta",'[2]Mapa final'!$AA$50="Catastrófico"),CONCATENATE("R7C",'[2]Mapa final'!$O$50),"")</f>
        <v/>
      </c>
      <c r="AK22" s="80" t="str">
        <f>IF(AND('[2]Mapa final'!$Y$51="Alta",'[2]Mapa final'!$AA$51="Catastrófico"),CONCATENATE("R7C",'[2]Mapa final'!$O$51),"")</f>
        <v/>
      </c>
      <c r="AL22" s="80" t="str">
        <f>IF(AND('[2]Mapa final'!$Y$52="Alta",'[2]Mapa final'!$AA$52="Catastrófico"),CONCATENATE("R7C",'[2]Mapa final'!$O$52),"")</f>
        <v/>
      </c>
      <c r="AM22" s="81" t="str">
        <f>IF(AND('[2]Mapa final'!$Y$53="Alta",'[2]Mapa final'!$AA$53="Catastrófico"),CONCATENATE("R7C",'[2]Mapa final'!$O$53),"")</f>
        <v/>
      </c>
      <c r="AN22" s="68"/>
      <c r="AO22" s="421"/>
      <c r="AP22" s="422"/>
      <c r="AQ22" s="422"/>
      <c r="AR22" s="422"/>
      <c r="AS22" s="422"/>
      <c r="AT22" s="423"/>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row>
    <row r="23" spans="1:76" ht="15" customHeight="1">
      <c r="A23" s="68"/>
      <c r="B23" s="406"/>
      <c r="C23" s="406"/>
      <c r="D23" s="407"/>
      <c r="E23" s="396"/>
      <c r="F23" s="397"/>
      <c r="G23" s="397"/>
      <c r="H23" s="397"/>
      <c r="I23" s="397"/>
      <c r="J23" s="91" t="str">
        <f>IF(AND('[2]Mapa final'!$Y$54="Alta",'[2]Mapa final'!$AA$54="Leve"),CONCATENATE("R8C",'[2]Mapa final'!$O$54),"")</f>
        <v/>
      </c>
      <c r="K23" s="92" t="str">
        <f>IF(AND('[2]Mapa final'!$Y$55="Alta",'[2]Mapa final'!$AA$55="Leve"),CONCATENATE("R8C",'[2]Mapa final'!$O$55),"")</f>
        <v/>
      </c>
      <c r="L23" s="92" t="str">
        <f>IF(AND('[2]Mapa final'!$Y$56="Alta",'[2]Mapa final'!$AA$56="Leve"),CONCATENATE("R8C",'[2]Mapa final'!$O$56),"")</f>
        <v/>
      </c>
      <c r="M23" s="92" t="str">
        <f>IF(AND('[2]Mapa final'!$Y$57="Alta",'[2]Mapa final'!$AA$57="Leve"),CONCATENATE("R8C",'[2]Mapa final'!$O$57),"")</f>
        <v/>
      </c>
      <c r="N23" s="92" t="str">
        <f>IF(AND('[2]Mapa final'!$Y$58="Alta",'[2]Mapa final'!$AA$58="Leve"),CONCATENATE("R8C",'[2]Mapa final'!$O$58),"")</f>
        <v/>
      </c>
      <c r="O23" s="93" t="str">
        <f>IF(AND('[2]Mapa final'!$Y$59="Alta",'[2]Mapa final'!$AA$59="Leve"),CONCATENATE("R8C",'[2]Mapa final'!$O$59),"")</f>
        <v/>
      </c>
      <c r="P23" s="91" t="str">
        <f>IF(AND('[2]Mapa final'!$Y$54="Alta",'[2]Mapa final'!$AA$54="Menor"),CONCATENATE("R8C",'[2]Mapa final'!$O$54),"")</f>
        <v/>
      </c>
      <c r="Q23" s="92" t="str">
        <f>IF(AND('[2]Mapa final'!$Y$55="Alta",'[2]Mapa final'!$AA$55="Menor"),CONCATENATE("R8C",'[2]Mapa final'!$O$55),"")</f>
        <v/>
      </c>
      <c r="R23" s="92" t="str">
        <f>IF(AND('[2]Mapa final'!$Y$56="Alta",'[2]Mapa final'!$AA$56="Menor"),CONCATENATE("R8C",'[2]Mapa final'!$O$56),"")</f>
        <v/>
      </c>
      <c r="S23" s="92" t="str">
        <f>IF(AND('[2]Mapa final'!$Y$57="Alta",'[2]Mapa final'!$AA$57="Menor"),CONCATENATE("R8C",'[2]Mapa final'!$O$57),"")</f>
        <v/>
      </c>
      <c r="T23" s="92" t="str">
        <f>IF(AND('[2]Mapa final'!$Y$58="Alta",'[2]Mapa final'!$AA$58="Menor"),CONCATENATE("R8C",'[2]Mapa final'!$O$58),"")</f>
        <v/>
      </c>
      <c r="U23" s="93" t="str">
        <f>IF(AND('[2]Mapa final'!$Y$59="Alta",'[2]Mapa final'!$AA$59="Menor"),CONCATENATE("R8C",'[2]Mapa final'!$O$59),"")</f>
        <v/>
      </c>
      <c r="V23" s="76" t="str">
        <f>IF(AND('[2]Mapa final'!$Y$54="Alta",'[2]Mapa final'!$AA$54="Moderado"),CONCATENATE("R8C",'[2]Mapa final'!$O$54),"")</f>
        <v/>
      </c>
      <c r="W23" s="77" t="str">
        <f>IF(AND('[2]Mapa final'!$Y$55="Alta",'[2]Mapa final'!$AA$55="Moderado"),CONCATENATE("R8C",'[2]Mapa final'!$O$55),"")</f>
        <v/>
      </c>
      <c r="X23" s="77" t="str">
        <f>IF(AND('[2]Mapa final'!$Y$56="Alta",'[2]Mapa final'!$AA$56="Moderado"),CONCATENATE("R8C",'[2]Mapa final'!$O$56),"")</f>
        <v/>
      </c>
      <c r="Y23" s="77" t="str">
        <f>IF(AND('[2]Mapa final'!$Y$57="Alta",'[2]Mapa final'!$AA$57="Moderado"),CONCATENATE("R8C",'[2]Mapa final'!$O$57),"")</f>
        <v/>
      </c>
      <c r="Z23" s="77" t="str">
        <f>IF(AND('[2]Mapa final'!$Y$58="Alta",'[2]Mapa final'!$AA$58="Moderado"),CONCATENATE("R8C",'[2]Mapa final'!$O$58),"")</f>
        <v/>
      </c>
      <c r="AA23" s="78" t="str">
        <f>IF(AND('[2]Mapa final'!$Y$59="Alta",'[2]Mapa final'!$AA$59="Moderado"),CONCATENATE("R8C",'[2]Mapa final'!$O$59),"")</f>
        <v/>
      </c>
      <c r="AB23" s="76" t="str">
        <f>IF(AND('[2]Mapa final'!$Y$54="Alta",'[2]Mapa final'!$AA$54="Mayor"),CONCATENATE("R8C",'[2]Mapa final'!$O$54),"")</f>
        <v/>
      </c>
      <c r="AC23" s="77" t="str">
        <f>IF(AND('[2]Mapa final'!$Y$55="Alta",'[2]Mapa final'!$AA$55="Mayor"),CONCATENATE("R8C",'[2]Mapa final'!$O$55),"")</f>
        <v/>
      </c>
      <c r="AD23" s="77" t="str">
        <f>IF(AND('[2]Mapa final'!$Y$56="Alta",'[2]Mapa final'!$AA$56="Mayor"),CONCATENATE("R8C",'[2]Mapa final'!$O$56),"")</f>
        <v/>
      </c>
      <c r="AE23" s="77" t="str">
        <f>IF(AND('[2]Mapa final'!$Y$57="Alta",'[2]Mapa final'!$AA$57="Mayor"),CONCATENATE("R8C",'[2]Mapa final'!$O$57),"")</f>
        <v/>
      </c>
      <c r="AF23" s="77" t="str">
        <f>IF(AND('[2]Mapa final'!$Y$58="Alta",'[2]Mapa final'!$AA$58="Mayor"),CONCATENATE("R8C",'[2]Mapa final'!$O$58),"")</f>
        <v/>
      </c>
      <c r="AG23" s="78" t="str">
        <f>IF(AND('[2]Mapa final'!$Y$59="Alta",'[2]Mapa final'!$AA$59="Mayor"),CONCATENATE("R8C",'[2]Mapa final'!$O$59),"")</f>
        <v/>
      </c>
      <c r="AH23" s="79" t="str">
        <f>IF(AND('[2]Mapa final'!$Y$54="Alta",'[2]Mapa final'!$AA$54="Catastrófico"),CONCATENATE("R8C",'[2]Mapa final'!$O$54),"")</f>
        <v/>
      </c>
      <c r="AI23" s="80" t="str">
        <f>IF(AND('[2]Mapa final'!$Y$55="Alta",'[2]Mapa final'!$AA$55="Catastrófico"),CONCATENATE("R8C",'[2]Mapa final'!$O$55),"")</f>
        <v/>
      </c>
      <c r="AJ23" s="80" t="str">
        <f>IF(AND('[2]Mapa final'!$Y$56="Alta",'[2]Mapa final'!$AA$56="Catastrófico"),CONCATENATE("R8C",'[2]Mapa final'!$O$56),"")</f>
        <v/>
      </c>
      <c r="AK23" s="80" t="str">
        <f>IF(AND('[2]Mapa final'!$Y$57="Alta",'[2]Mapa final'!$AA$57="Catastrófico"),CONCATENATE("R8C",'[2]Mapa final'!$O$57),"")</f>
        <v/>
      </c>
      <c r="AL23" s="80" t="str">
        <f>IF(AND('[2]Mapa final'!$Y$58="Alta",'[2]Mapa final'!$AA$58="Catastrófico"),CONCATENATE("R8C",'[2]Mapa final'!$O$58),"")</f>
        <v/>
      </c>
      <c r="AM23" s="81" t="str">
        <f>IF(AND('[2]Mapa final'!$Y$59="Alta",'[2]Mapa final'!$AA$59="Catastrófico"),CONCATENATE("R8C",'[2]Mapa final'!$O$59),"")</f>
        <v/>
      </c>
      <c r="AN23" s="68"/>
      <c r="AO23" s="421"/>
      <c r="AP23" s="422"/>
      <c r="AQ23" s="422"/>
      <c r="AR23" s="422"/>
      <c r="AS23" s="422"/>
      <c r="AT23" s="423"/>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row>
    <row r="24" spans="1:76" ht="15" customHeight="1">
      <c r="A24" s="68"/>
      <c r="B24" s="406"/>
      <c r="C24" s="406"/>
      <c r="D24" s="407"/>
      <c r="E24" s="396"/>
      <c r="F24" s="397"/>
      <c r="G24" s="397"/>
      <c r="H24" s="397"/>
      <c r="I24" s="397"/>
      <c r="J24" s="91" t="str">
        <f>IF(AND('[2]Mapa final'!$Y$60="Alta",'[2]Mapa final'!$AA$60="Leve"),CONCATENATE("R9C",'[2]Mapa final'!$O$60),"")</f>
        <v/>
      </c>
      <c r="K24" s="92" t="str">
        <f>IF(AND('[2]Mapa final'!$Y$61="Alta",'[2]Mapa final'!$AA$61="Leve"),CONCATENATE("R9C",'[2]Mapa final'!$O$61),"")</f>
        <v/>
      </c>
      <c r="L24" s="92" t="str">
        <f>IF(AND('[2]Mapa final'!$Y$62="Alta",'[2]Mapa final'!$AA$62="Leve"),CONCATENATE("R9C",'[2]Mapa final'!$O$62),"")</f>
        <v/>
      </c>
      <c r="M24" s="92" t="str">
        <f>IF(AND('[2]Mapa final'!$Y$63="Alta",'[2]Mapa final'!$AA$63="Leve"),CONCATENATE("R9C",'[2]Mapa final'!$O$63),"")</f>
        <v/>
      </c>
      <c r="N24" s="92" t="str">
        <f>IF(AND('[2]Mapa final'!$Y$64="Alta",'[2]Mapa final'!$AA$64="Leve"),CONCATENATE("R9C",'[2]Mapa final'!$O$64),"")</f>
        <v/>
      </c>
      <c r="O24" s="93" t="str">
        <f>IF(AND('[2]Mapa final'!$Y$65="Alta",'[2]Mapa final'!$AA$65="Leve"),CONCATENATE("R9C",'[2]Mapa final'!$O$65),"")</f>
        <v/>
      </c>
      <c r="P24" s="91" t="str">
        <f>IF(AND('[2]Mapa final'!$Y$60="Alta",'[2]Mapa final'!$AA$60="Menor"),CONCATENATE("R9C",'[2]Mapa final'!$O$60),"")</f>
        <v/>
      </c>
      <c r="Q24" s="92" t="str">
        <f>IF(AND('[2]Mapa final'!$Y$61="Alta",'[2]Mapa final'!$AA$61="Menor"),CONCATENATE("R9C",'[2]Mapa final'!$O$61),"")</f>
        <v/>
      </c>
      <c r="R24" s="92" t="str">
        <f>IF(AND('[2]Mapa final'!$Y$62="Alta",'[2]Mapa final'!$AA$62="Menor"),CONCATENATE("R9C",'[2]Mapa final'!$O$62),"")</f>
        <v/>
      </c>
      <c r="S24" s="92" t="str">
        <f>IF(AND('[2]Mapa final'!$Y$63="Alta",'[2]Mapa final'!$AA$63="Menor"),CONCATENATE("R9C",'[2]Mapa final'!$O$63),"")</f>
        <v/>
      </c>
      <c r="T24" s="92" t="str">
        <f>IF(AND('[2]Mapa final'!$Y$64="Alta",'[2]Mapa final'!$AA$64="Menor"),CONCATENATE("R9C",'[2]Mapa final'!$O$64),"")</f>
        <v/>
      </c>
      <c r="U24" s="93" t="str">
        <f>IF(AND('[2]Mapa final'!$Y$65="Alta",'[2]Mapa final'!$AA$65="Menor"),CONCATENATE("R9C",'[2]Mapa final'!$O$65),"")</f>
        <v/>
      </c>
      <c r="V24" s="76" t="str">
        <f>IF(AND('[2]Mapa final'!$Y$60="Alta",'[2]Mapa final'!$AA$60="Moderado"),CONCATENATE("R9C",'[2]Mapa final'!$O$60),"")</f>
        <v/>
      </c>
      <c r="W24" s="77" t="str">
        <f>IF(AND('[2]Mapa final'!$Y$61="Alta",'[2]Mapa final'!$AA$61="Moderado"),CONCATENATE("R9C",'[2]Mapa final'!$O$61),"")</f>
        <v/>
      </c>
      <c r="X24" s="77" t="str">
        <f>IF(AND('[2]Mapa final'!$Y$62="Alta",'[2]Mapa final'!$AA$62="Moderado"),CONCATENATE("R9C",'[2]Mapa final'!$O$62),"")</f>
        <v/>
      </c>
      <c r="Y24" s="77" t="str">
        <f>IF(AND('[2]Mapa final'!$Y$63="Alta",'[2]Mapa final'!$AA$63="Moderado"),CONCATENATE("R9C",'[2]Mapa final'!$O$63),"")</f>
        <v/>
      </c>
      <c r="Z24" s="77" t="str">
        <f>IF(AND('[2]Mapa final'!$Y$64="Alta",'[2]Mapa final'!$AA$64="Moderado"),CONCATENATE("R9C",'[2]Mapa final'!$O$64),"")</f>
        <v/>
      </c>
      <c r="AA24" s="78" t="str">
        <f>IF(AND('[2]Mapa final'!$Y$65="Alta",'[2]Mapa final'!$AA$65="Moderado"),CONCATENATE("R9C",'[2]Mapa final'!$O$65),"")</f>
        <v/>
      </c>
      <c r="AB24" s="76" t="str">
        <f>IF(AND('[2]Mapa final'!$Y$60="Alta",'[2]Mapa final'!$AA$60="Mayor"),CONCATENATE("R9C",'[2]Mapa final'!$O$60),"")</f>
        <v/>
      </c>
      <c r="AC24" s="77" t="str">
        <f>IF(AND('[2]Mapa final'!$Y$61="Alta",'[2]Mapa final'!$AA$61="Mayor"),CONCATENATE("R9C",'[2]Mapa final'!$O$61),"")</f>
        <v/>
      </c>
      <c r="AD24" s="77" t="str">
        <f>IF(AND('[2]Mapa final'!$Y$62="Alta",'[2]Mapa final'!$AA$62="Mayor"),CONCATENATE("R9C",'[2]Mapa final'!$O$62),"")</f>
        <v/>
      </c>
      <c r="AE24" s="77" t="str">
        <f>IF(AND('[2]Mapa final'!$Y$63="Alta",'[2]Mapa final'!$AA$63="Mayor"),CONCATENATE("R9C",'[2]Mapa final'!$O$63),"")</f>
        <v/>
      </c>
      <c r="AF24" s="77" t="str">
        <f>IF(AND('[2]Mapa final'!$Y$64="Alta",'[2]Mapa final'!$AA$64="Mayor"),CONCATENATE("R9C",'[2]Mapa final'!$O$64),"")</f>
        <v/>
      </c>
      <c r="AG24" s="78" t="str">
        <f>IF(AND('[2]Mapa final'!$Y$65="Alta",'[2]Mapa final'!$AA$65="Mayor"),CONCATENATE("R9C",'[2]Mapa final'!$O$65),"")</f>
        <v/>
      </c>
      <c r="AH24" s="79" t="str">
        <f>IF(AND('[2]Mapa final'!$Y$60="Alta",'[2]Mapa final'!$AA$60="Catastrófico"),CONCATENATE("R9C",'[2]Mapa final'!$O$60),"")</f>
        <v/>
      </c>
      <c r="AI24" s="80" t="str">
        <f>IF(AND('[2]Mapa final'!$Y$61="Alta",'[2]Mapa final'!$AA$61="Catastrófico"),CONCATENATE("R9C",'[2]Mapa final'!$O$61),"")</f>
        <v/>
      </c>
      <c r="AJ24" s="80" t="str">
        <f>IF(AND('[2]Mapa final'!$Y$62="Alta",'[2]Mapa final'!$AA$62="Catastrófico"),CONCATENATE("R9C",'[2]Mapa final'!$O$62),"")</f>
        <v/>
      </c>
      <c r="AK24" s="80" t="str">
        <f>IF(AND('[2]Mapa final'!$Y$63="Alta",'[2]Mapa final'!$AA$63="Catastrófico"),CONCATENATE("R9C",'[2]Mapa final'!$O$63),"")</f>
        <v/>
      </c>
      <c r="AL24" s="80" t="str">
        <f>IF(AND('[2]Mapa final'!$Y$64="Alta",'[2]Mapa final'!$AA$64="Catastrófico"),CONCATENATE("R9C",'[2]Mapa final'!$O$64),"")</f>
        <v/>
      </c>
      <c r="AM24" s="81" t="str">
        <f>IF(AND('[2]Mapa final'!$Y$65="Alta",'[2]Mapa final'!$AA$65="Catastrófico"),CONCATENATE("R9C",'[2]Mapa final'!$O$65),"")</f>
        <v/>
      </c>
      <c r="AN24" s="68"/>
      <c r="AO24" s="421"/>
      <c r="AP24" s="422"/>
      <c r="AQ24" s="422"/>
      <c r="AR24" s="422"/>
      <c r="AS24" s="422"/>
      <c r="AT24" s="423"/>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row>
    <row r="25" spans="1:76" ht="15.75" customHeight="1" thickBot="1">
      <c r="A25" s="68"/>
      <c r="B25" s="406"/>
      <c r="C25" s="406"/>
      <c r="D25" s="407"/>
      <c r="E25" s="399"/>
      <c r="F25" s="400"/>
      <c r="G25" s="400"/>
      <c r="H25" s="400"/>
      <c r="I25" s="400"/>
      <c r="J25" s="94" t="str">
        <f>IF(AND('[2]Mapa final'!$Y$66="Alta",'[2]Mapa final'!$AA$66="Leve"),CONCATENATE("R10C",'[2]Mapa final'!$O$66),"")</f>
        <v/>
      </c>
      <c r="K25" s="95" t="str">
        <f>IF(AND('[2]Mapa final'!$Y$67="Alta",'[2]Mapa final'!$AA$67="Leve"),CONCATENATE("R10C",'[2]Mapa final'!$O$67),"")</f>
        <v/>
      </c>
      <c r="L25" s="95" t="str">
        <f>IF(AND('[2]Mapa final'!$Y$68="Alta",'[2]Mapa final'!$AA$68="Leve"),CONCATENATE("R10C",'[2]Mapa final'!$O$68),"")</f>
        <v/>
      </c>
      <c r="M25" s="95" t="str">
        <f>IF(AND('[2]Mapa final'!$Y$69="Alta",'[2]Mapa final'!$AA$69="Leve"),CONCATENATE("R10C",'[2]Mapa final'!$O$69),"")</f>
        <v/>
      </c>
      <c r="N25" s="95" t="str">
        <f>IF(AND('[2]Mapa final'!$Y$70="Alta",'[2]Mapa final'!$AA$70="Leve"),CONCATENATE("R10C",'[2]Mapa final'!$O$70),"")</f>
        <v/>
      </c>
      <c r="O25" s="96" t="str">
        <f>IF(AND('[2]Mapa final'!$Y$71="Alta",'[2]Mapa final'!$AA$71="Leve"),CONCATENATE("R10C",'[2]Mapa final'!$O$71),"")</f>
        <v/>
      </c>
      <c r="P25" s="94" t="str">
        <f>IF(AND('[2]Mapa final'!$Y$66="Alta",'[2]Mapa final'!$AA$66="Menor"),CONCATENATE("R10C",'[2]Mapa final'!$O$66),"")</f>
        <v/>
      </c>
      <c r="Q25" s="95" t="str">
        <f>IF(AND('[2]Mapa final'!$Y$67="Alta",'[2]Mapa final'!$AA$67="Menor"),CONCATENATE("R10C",'[2]Mapa final'!$O$67),"")</f>
        <v/>
      </c>
      <c r="R25" s="95" t="str">
        <f>IF(AND('[2]Mapa final'!$Y$68="Alta",'[2]Mapa final'!$AA$68="Menor"),CONCATENATE("R10C",'[2]Mapa final'!$O$68),"")</f>
        <v/>
      </c>
      <c r="S25" s="95" t="str">
        <f>IF(AND('[2]Mapa final'!$Y$69="Alta",'[2]Mapa final'!$AA$69="Menor"),CONCATENATE("R10C",'[2]Mapa final'!$O$69),"")</f>
        <v/>
      </c>
      <c r="T25" s="95" t="str">
        <f>IF(AND('[2]Mapa final'!$Y$70="Alta",'[2]Mapa final'!$AA$70="Menor"),CONCATENATE("R10C",'[2]Mapa final'!$O$70),"")</f>
        <v/>
      </c>
      <c r="U25" s="96" t="str">
        <f>IF(AND('[2]Mapa final'!$Y$71="Alta",'[2]Mapa final'!$AA$71="Menor"),CONCATENATE("R10C",'[2]Mapa final'!$O$71),"")</f>
        <v/>
      </c>
      <c r="V25" s="82" t="str">
        <f>IF(AND('[2]Mapa final'!$Y$66="Alta",'[2]Mapa final'!$AA$66="Moderado"),CONCATENATE("R10C",'[2]Mapa final'!$O$66),"")</f>
        <v/>
      </c>
      <c r="W25" s="83" t="str">
        <f>IF(AND('[2]Mapa final'!$Y$67="Alta",'[2]Mapa final'!$AA$67="Moderado"),CONCATENATE("R10C",'[2]Mapa final'!$O$67),"")</f>
        <v/>
      </c>
      <c r="X25" s="83" t="str">
        <f>IF(AND('[2]Mapa final'!$Y$68="Alta",'[2]Mapa final'!$AA$68="Moderado"),CONCATENATE("R10C",'[2]Mapa final'!$O$68),"")</f>
        <v/>
      </c>
      <c r="Y25" s="83" t="str">
        <f>IF(AND('[2]Mapa final'!$Y$69="Alta",'[2]Mapa final'!$AA$69="Moderado"),CONCATENATE("R10C",'[2]Mapa final'!$O$69),"")</f>
        <v/>
      </c>
      <c r="Z25" s="83" t="str">
        <f>IF(AND('[2]Mapa final'!$Y$70="Alta",'[2]Mapa final'!$AA$70="Moderado"),CONCATENATE("R10C",'[2]Mapa final'!$O$70),"")</f>
        <v/>
      </c>
      <c r="AA25" s="84" t="str">
        <f>IF(AND('[2]Mapa final'!$Y$71="Alta",'[2]Mapa final'!$AA$71="Moderado"),CONCATENATE("R10C",'[2]Mapa final'!$O$71),"")</f>
        <v/>
      </c>
      <c r="AB25" s="82" t="str">
        <f>IF(AND('[2]Mapa final'!$Y$66="Alta",'[2]Mapa final'!$AA$66="Mayor"),CONCATENATE("R10C",'[2]Mapa final'!$O$66),"")</f>
        <v/>
      </c>
      <c r="AC25" s="83" t="str">
        <f>IF(AND('[2]Mapa final'!$Y$67="Alta",'[2]Mapa final'!$AA$67="Mayor"),CONCATENATE("R10C",'[2]Mapa final'!$O$67),"")</f>
        <v/>
      </c>
      <c r="AD25" s="83" t="str">
        <f>IF(AND('[2]Mapa final'!$Y$68="Alta",'[2]Mapa final'!$AA$68="Mayor"),CONCATENATE("R10C",'[2]Mapa final'!$O$68),"")</f>
        <v/>
      </c>
      <c r="AE25" s="83" t="str">
        <f>IF(AND('[2]Mapa final'!$Y$69="Alta",'[2]Mapa final'!$AA$69="Mayor"),CONCATENATE("R10C",'[2]Mapa final'!$O$69),"")</f>
        <v/>
      </c>
      <c r="AF25" s="83" t="str">
        <f>IF(AND('[2]Mapa final'!$Y$70="Alta",'[2]Mapa final'!$AA$70="Mayor"),CONCATENATE("R10C",'[2]Mapa final'!$O$70),"")</f>
        <v/>
      </c>
      <c r="AG25" s="84" t="str">
        <f>IF(AND('[2]Mapa final'!$Y$71="Alta",'[2]Mapa final'!$AA$71="Mayor"),CONCATENATE("R10C",'[2]Mapa final'!$O$71),"")</f>
        <v/>
      </c>
      <c r="AH25" s="85" t="str">
        <f>IF(AND('[2]Mapa final'!$Y$66="Alta",'[2]Mapa final'!$AA$66="Catastrófico"),CONCATENATE("R10C",'[2]Mapa final'!$O$66),"")</f>
        <v/>
      </c>
      <c r="AI25" s="86" t="str">
        <f>IF(AND('[2]Mapa final'!$Y$67="Alta",'[2]Mapa final'!$AA$67="Catastrófico"),CONCATENATE("R10C",'[2]Mapa final'!$O$67),"")</f>
        <v/>
      </c>
      <c r="AJ25" s="86" t="str">
        <f>IF(AND('[2]Mapa final'!$Y$68="Alta",'[2]Mapa final'!$AA$68="Catastrófico"),CONCATENATE("R10C",'[2]Mapa final'!$O$68),"")</f>
        <v/>
      </c>
      <c r="AK25" s="86" t="str">
        <f>IF(AND('[2]Mapa final'!$Y$69="Alta",'[2]Mapa final'!$AA$69="Catastrófico"),CONCATENATE("R10C",'[2]Mapa final'!$O$69),"")</f>
        <v/>
      </c>
      <c r="AL25" s="86" t="str">
        <f>IF(AND('[2]Mapa final'!$Y$70="Alta",'[2]Mapa final'!$AA$70="Catastrófico"),CONCATENATE("R10C",'[2]Mapa final'!$O$70),"")</f>
        <v/>
      </c>
      <c r="AM25" s="87" t="str">
        <f>IF(AND('[2]Mapa final'!$Y$71="Alta",'[2]Mapa final'!$AA$71="Catastrófico"),CONCATENATE("R10C",'[2]Mapa final'!$O$71),"")</f>
        <v/>
      </c>
      <c r="AN25" s="68"/>
      <c r="AO25" s="424"/>
      <c r="AP25" s="425"/>
      <c r="AQ25" s="425"/>
      <c r="AR25" s="425"/>
      <c r="AS25" s="425"/>
      <c r="AT25" s="426"/>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row>
    <row r="26" spans="1:76" ht="15" customHeight="1">
      <c r="A26" s="68"/>
      <c r="B26" s="406"/>
      <c r="C26" s="406"/>
      <c r="D26" s="407"/>
      <c r="E26" s="393" t="s">
        <v>354</v>
      </c>
      <c r="F26" s="394"/>
      <c r="G26" s="394"/>
      <c r="H26" s="394"/>
      <c r="I26" s="395"/>
      <c r="J26" s="88" t="str">
        <f>IF(AND('[2]Mapa final'!$Y$12="Media",'[2]Mapa final'!$AA$12="Leve"),CONCATENATE("R1C",'[2]Mapa final'!$O$12),"")</f>
        <v/>
      </c>
      <c r="K26" s="89" t="str">
        <f>IF(AND('[2]Mapa final'!$Y$13="Media",'[2]Mapa final'!$AA$13="Leve"),CONCATENATE("R1C",'[2]Mapa final'!$O$13),"")</f>
        <v/>
      </c>
      <c r="L26" s="89" t="str">
        <f>IF(AND('[2]Mapa final'!$Y$14="Media",'[2]Mapa final'!$AA$14="Leve"),CONCATENATE("R1C",'[2]Mapa final'!$O$14),"")</f>
        <v/>
      </c>
      <c r="M26" s="89" t="str">
        <f>IF(AND('[2]Mapa final'!$Y$15="Media",'[2]Mapa final'!$AA$15="Leve"),CONCATENATE("R1C",'[2]Mapa final'!$O$15),"")</f>
        <v/>
      </c>
      <c r="N26" s="89" t="str">
        <f>IF(AND('[2]Mapa final'!$Y$16="Media",'[2]Mapa final'!$AA$16="Leve"),CONCATENATE("R1C",'[2]Mapa final'!$O$16),"")</f>
        <v/>
      </c>
      <c r="O26" s="90" t="str">
        <f>IF(AND('[2]Mapa final'!$Y$17="Media",'[2]Mapa final'!$AA$17="Leve"),CONCATENATE("R1C",'[2]Mapa final'!$O$17),"")</f>
        <v/>
      </c>
      <c r="P26" s="88" t="str">
        <f>IF(AND('[2]Mapa final'!$Y$12="Media",'[2]Mapa final'!$AA$12="Menor"),CONCATENATE("R1C",'[2]Mapa final'!$O$12),"")</f>
        <v/>
      </c>
      <c r="Q26" s="89" t="str">
        <f>IF(AND('[2]Mapa final'!$Y$13="Media",'[2]Mapa final'!$AA$13="Menor"),CONCATENATE("R1C",'[2]Mapa final'!$O$13),"")</f>
        <v/>
      </c>
      <c r="R26" s="89" t="str">
        <f>IF(AND('[2]Mapa final'!$Y$14="Media",'[2]Mapa final'!$AA$14="Menor"),CONCATENATE("R1C",'[2]Mapa final'!$O$14),"")</f>
        <v/>
      </c>
      <c r="S26" s="89" t="str">
        <f>IF(AND('[2]Mapa final'!$Y$15="Media",'[2]Mapa final'!$AA$15="Menor"),CONCATENATE("R1C",'[2]Mapa final'!$O$15),"")</f>
        <v/>
      </c>
      <c r="T26" s="89" t="str">
        <f>IF(AND('[2]Mapa final'!$Y$16="Media",'[2]Mapa final'!$AA$16="Menor"),CONCATENATE("R1C",'[2]Mapa final'!$O$16),"")</f>
        <v/>
      </c>
      <c r="U26" s="90" t="str">
        <f>IF(AND('[2]Mapa final'!$Y$17="Media",'[2]Mapa final'!$AA$17="Menor"),CONCATENATE("R1C",'[2]Mapa final'!$O$17),"")</f>
        <v/>
      </c>
      <c r="V26" s="88" t="str">
        <f>IF(AND('[2]Mapa final'!$Y$12="Media",'[2]Mapa final'!$AA$12="Moderado"),CONCATENATE("R1C",'[2]Mapa final'!$O$12),"")</f>
        <v/>
      </c>
      <c r="W26" s="89" t="str">
        <f>IF(AND('[2]Mapa final'!$Y$13="Media",'[2]Mapa final'!$AA$13="Moderado"),CONCATENATE("R1C",'[2]Mapa final'!$O$13),"")</f>
        <v/>
      </c>
      <c r="X26" s="89" t="str">
        <f>IF(AND('[2]Mapa final'!$Y$14="Media",'[2]Mapa final'!$AA$14="Moderado"),CONCATENATE("R1C",'[2]Mapa final'!$O$14),"")</f>
        <v/>
      </c>
      <c r="Y26" s="89" t="str">
        <f>IF(AND('[2]Mapa final'!$Y$15="Media",'[2]Mapa final'!$AA$15="Moderado"),CONCATENATE("R1C",'[2]Mapa final'!$O$15),"")</f>
        <v/>
      </c>
      <c r="Z26" s="89" t="str">
        <f>IF(AND('[2]Mapa final'!$Y$16="Media",'[2]Mapa final'!$AA$16="Moderado"),CONCATENATE("R1C",'[2]Mapa final'!$O$16),"")</f>
        <v/>
      </c>
      <c r="AA26" s="90" t="str">
        <f>IF(AND('[2]Mapa final'!$Y$17="Media",'[2]Mapa final'!$AA$17="Moderado"),CONCATENATE("R1C",'[2]Mapa final'!$O$17),"")</f>
        <v/>
      </c>
      <c r="AB26" s="70" t="str">
        <f>IF(AND('[2]Mapa final'!$Y$12="Media",'[2]Mapa final'!$AA$12="Mayor"),CONCATENATE("R1C",'[2]Mapa final'!$O$12),"")</f>
        <v/>
      </c>
      <c r="AC26" s="71" t="str">
        <f>IF(AND('[2]Mapa final'!$Y$13="Media",'[2]Mapa final'!$AA$13="Mayor"),CONCATENATE("R1C",'[2]Mapa final'!$O$13),"")</f>
        <v/>
      </c>
      <c r="AD26" s="71" t="str">
        <f>IF(AND('[2]Mapa final'!$Y$14="Media",'[2]Mapa final'!$AA$14="Mayor"),CONCATENATE("R1C",'[2]Mapa final'!$O$14),"")</f>
        <v/>
      </c>
      <c r="AE26" s="71" t="str">
        <f>IF(AND('[2]Mapa final'!$Y$15="Media",'[2]Mapa final'!$AA$15="Mayor"),CONCATENATE("R1C",'[2]Mapa final'!$O$15),"")</f>
        <v/>
      </c>
      <c r="AF26" s="71" t="str">
        <f>IF(AND('[2]Mapa final'!$Y$16="Media",'[2]Mapa final'!$AA$16="Mayor"),CONCATENATE("R1C",'[2]Mapa final'!$O$16),"")</f>
        <v/>
      </c>
      <c r="AG26" s="72" t="str">
        <f>IF(AND('[2]Mapa final'!$Y$17="Media",'[2]Mapa final'!$AA$17="Mayor"),CONCATENATE("R1C",'[2]Mapa final'!$O$17),"")</f>
        <v/>
      </c>
      <c r="AH26" s="73" t="str">
        <f>IF(AND('[2]Mapa final'!$Y$12="Media",'[2]Mapa final'!$AA$12="Catastrófico"),CONCATENATE("R1C",'[2]Mapa final'!$O$12),"")</f>
        <v/>
      </c>
      <c r="AI26" s="74" t="str">
        <f>IF(AND('[2]Mapa final'!$Y$13="Media",'[2]Mapa final'!$AA$13="Catastrófico"),CONCATENATE("R1C",'[2]Mapa final'!$O$13),"")</f>
        <v/>
      </c>
      <c r="AJ26" s="74" t="str">
        <f>IF(AND('[2]Mapa final'!$Y$14="Media",'[2]Mapa final'!$AA$14="Catastrófico"),CONCATENATE("R1C",'[2]Mapa final'!$O$14),"")</f>
        <v/>
      </c>
      <c r="AK26" s="74" t="str">
        <f>IF(AND('[2]Mapa final'!$Y$15="Media",'[2]Mapa final'!$AA$15="Catastrófico"),CONCATENATE("R1C",'[2]Mapa final'!$O$15),"")</f>
        <v/>
      </c>
      <c r="AL26" s="74" t="str">
        <f>IF(AND('[2]Mapa final'!$Y$16="Media",'[2]Mapa final'!$AA$16="Catastrófico"),CONCATENATE("R1C",'[2]Mapa final'!$O$16),"")</f>
        <v/>
      </c>
      <c r="AM26" s="75" t="str">
        <f>IF(AND('[2]Mapa final'!$Y$17="Media",'[2]Mapa final'!$AA$17="Catastrófico"),CONCATENATE("R1C",'[2]Mapa final'!$O$17),"")</f>
        <v/>
      </c>
      <c r="AN26" s="68"/>
      <c r="AO26" s="427" t="s">
        <v>355</v>
      </c>
      <c r="AP26" s="428"/>
      <c r="AQ26" s="428"/>
      <c r="AR26" s="428"/>
      <c r="AS26" s="428"/>
      <c r="AT26" s="429"/>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row>
    <row r="27" spans="1:76" ht="15" customHeight="1">
      <c r="A27" s="68"/>
      <c r="B27" s="406"/>
      <c r="C27" s="406"/>
      <c r="D27" s="407"/>
      <c r="E27" s="417"/>
      <c r="F27" s="397"/>
      <c r="G27" s="397"/>
      <c r="H27" s="397"/>
      <c r="I27" s="398"/>
      <c r="J27" s="91" t="str">
        <f>IF(AND('[2]Mapa final'!$Y$18="Media",'[2]Mapa final'!$AA$18="Leve"),CONCATENATE("R2C",'[2]Mapa final'!$O$18),"")</f>
        <v/>
      </c>
      <c r="K27" s="92" t="str">
        <f>IF(AND('[2]Mapa final'!$Y$19="Media",'[2]Mapa final'!$AA$19="Leve"),CONCATENATE("R2C",'[2]Mapa final'!$O$19),"")</f>
        <v/>
      </c>
      <c r="L27" s="92" t="str">
        <f>IF(AND('[2]Mapa final'!$Y$20="Media",'[2]Mapa final'!$AA$20="Leve"),CONCATENATE("R2C",'[2]Mapa final'!$O$20),"")</f>
        <v/>
      </c>
      <c r="M27" s="92" t="str">
        <f>IF(AND('[2]Mapa final'!$Y$21="Media",'[2]Mapa final'!$AA$21="Leve"),CONCATENATE("R2C",'[2]Mapa final'!$O$21),"")</f>
        <v/>
      </c>
      <c r="N27" s="92" t="str">
        <f>IF(AND('[2]Mapa final'!$Y$22="Media",'[2]Mapa final'!$AA$22="Leve"),CONCATENATE("R2C",'[2]Mapa final'!$O$22),"")</f>
        <v/>
      </c>
      <c r="O27" s="93" t="str">
        <f>IF(AND('[2]Mapa final'!$Y$23="Media",'[2]Mapa final'!$AA$23="Leve"),CONCATENATE("R2C",'[2]Mapa final'!$O$23),"")</f>
        <v/>
      </c>
      <c r="P27" s="91" t="str">
        <f>IF(AND('[2]Mapa final'!$Y$18="Media",'[2]Mapa final'!$AA$18="Menor"),CONCATENATE("R2C",'[2]Mapa final'!$O$18),"")</f>
        <v/>
      </c>
      <c r="Q27" s="92" t="str">
        <f>IF(AND('[2]Mapa final'!$Y$19="Media",'[2]Mapa final'!$AA$19="Menor"),CONCATENATE("R2C",'[2]Mapa final'!$O$19),"")</f>
        <v/>
      </c>
      <c r="R27" s="92" t="str">
        <f>IF(AND('[2]Mapa final'!$Y$20="Media",'[2]Mapa final'!$AA$20="Menor"),CONCATENATE("R2C",'[2]Mapa final'!$O$20),"")</f>
        <v/>
      </c>
      <c r="S27" s="92" t="str">
        <f>IF(AND('[2]Mapa final'!$Y$21="Media",'[2]Mapa final'!$AA$21="Menor"),CONCATENATE("R2C",'[2]Mapa final'!$O$21),"")</f>
        <v/>
      </c>
      <c r="T27" s="92" t="str">
        <f>IF(AND('[2]Mapa final'!$Y$22="Media",'[2]Mapa final'!$AA$22="Menor"),CONCATENATE("R2C",'[2]Mapa final'!$O$22),"")</f>
        <v/>
      </c>
      <c r="U27" s="93" t="str">
        <f>IF(AND('[2]Mapa final'!$Y$23="Media",'[2]Mapa final'!$AA$23="Menor"),CONCATENATE("R2C",'[2]Mapa final'!$O$23),"")</f>
        <v/>
      </c>
      <c r="V27" s="91" t="str">
        <f>IF(AND('[2]Mapa final'!$Y$18="Media",'[2]Mapa final'!$AA$18="Moderado"),CONCATENATE("R2C",'[2]Mapa final'!$O$18),"")</f>
        <v/>
      </c>
      <c r="W27" s="92" t="str">
        <f>IF(AND('[2]Mapa final'!$Y$19="Media",'[2]Mapa final'!$AA$19="Moderado"),CONCATENATE("R2C",'[2]Mapa final'!$O$19),"")</f>
        <v/>
      </c>
      <c r="X27" s="92" t="str">
        <f>IF(AND('[2]Mapa final'!$Y$20="Media",'[2]Mapa final'!$AA$20="Moderado"),CONCATENATE("R2C",'[2]Mapa final'!$O$20),"")</f>
        <v/>
      </c>
      <c r="Y27" s="92" t="str">
        <f>IF(AND('[2]Mapa final'!$Y$21="Media",'[2]Mapa final'!$AA$21="Moderado"),CONCATENATE("R2C",'[2]Mapa final'!$O$21),"")</f>
        <v/>
      </c>
      <c r="Z27" s="92" t="str">
        <f>IF(AND('[2]Mapa final'!$Y$22="Media",'[2]Mapa final'!$AA$22="Moderado"),CONCATENATE("R2C",'[2]Mapa final'!$O$22),"")</f>
        <v/>
      </c>
      <c r="AA27" s="93" t="str">
        <f>IF(AND('[2]Mapa final'!$Y$23="Media",'[2]Mapa final'!$AA$23="Moderado"),CONCATENATE("R2C",'[2]Mapa final'!$O$23),"")</f>
        <v/>
      </c>
      <c r="AB27" s="76" t="str">
        <f>IF(AND('[2]Mapa final'!$Y$18="Media",'[2]Mapa final'!$AA$18="Mayor"),CONCATENATE("R2C",'[2]Mapa final'!$O$18),"")</f>
        <v/>
      </c>
      <c r="AC27" s="77" t="str">
        <f>IF(AND('[2]Mapa final'!$Y$19="Media",'[2]Mapa final'!$AA$19="Mayor"),CONCATENATE("R2C",'[2]Mapa final'!$O$19),"")</f>
        <v/>
      </c>
      <c r="AD27" s="77" t="str">
        <f>IF(AND('[2]Mapa final'!$Y$20="Media",'[2]Mapa final'!$AA$20="Mayor"),CONCATENATE("R2C",'[2]Mapa final'!$O$20),"")</f>
        <v/>
      </c>
      <c r="AE27" s="77" t="str">
        <f>IF(AND('[2]Mapa final'!$Y$21="Media",'[2]Mapa final'!$AA$21="Mayor"),CONCATENATE("R2C",'[2]Mapa final'!$O$21),"")</f>
        <v/>
      </c>
      <c r="AF27" s="77" t="str">
        <f>IF(AND('[2]Mapa final'!$Y$22="Media",'[2]Mapa final'!$AA$22="Mayor"),CONCATENATE("R2C",'[2]Mapa final'!$O$22),"")</f>
        <v/>
      </c>
      <c r="AG27" s="78" t="str">
        <f>IF(AND('[2]Mapa final'!$Y$23="Media",'[2]Mapa final'!$AA$23="Mayor"),CONCATENATE("R2C",'[2]Mapa final'!$O$23),"")</f>
        <v/>
      </c>
      <c r="AH27" s="79" t="str">
        <f>IF(AND('[2]Mapa final'!$Y$18="Media",'[2]Mapa final'!$AA$18="Catastrófico"),CONCATENATE("R2C",'[2]Mapa final'!$O$18),"")</f>
        <v/>
      </c>
      <c r="AI27" s="80" t="str">
        <f>IF(AND('[2]Mapa final'!$Y$19="Media",'[2]Mapa final'!$AA$19="Catastrófico"),CONCATENATE("R2C",'[2]Mapa final'!$O$19),"")</f>
        <v/>
      </c>
      <c r="AJ27" s="80" t="str">
        <f>IF(AND('[2]Mapa final'!$Y$20="Media",'[2]Mapa final'!$AA$20="Catastrófico"),CONCATENATE("R2C",'[2]Mapa final'!$O$20),"")</f>
        <v/>
      </c>
      <c r="AK27" s="80" t="str">
        <f>IF(AND('[2]Mapa final'!$Y$21="Media",'[2]Mapa final'!$AA$21="Catastrófico"),CONCATENATE("R2C",'[2]Mapa final'!$O$21),"")</f>
        <v/>
      </c>
      <c r="AL27" s="80" t="str">
        <f>IF(AND('[2]Mapa final'!$Y$22="Media",'[2]Mapa final'!$AA$22="Catastrófico"),CONCATENATE("R2C",'[2]Mapa final'!$O$22),"")</f>
        <v/>
      </c>
      <c r="AM27" s="81" t="str">
        <f>IF(AND('[2]Mapa final'!$Y$23="Media",'[2]Mapa final'!$AA$23="Catastrófico"),CONCATENATE("R2C",'[2]Mapa final'!$O$23),"")</f>
        <v/>
      </c>
      <c r="AN27" s="68"/>
      <c r="AO27" s="430"/>
      <c r="AP27" s="431"/>
      <c r="AQ27" s="431"/>
      <c r="AR27" s="431"/>
      <c r="AS27" s="431"/>
      <c r="AT27" s="432"/>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row>
    <row r="28" spans="1:76" ht="15" customHeight="1">
      <c r="A28" s="68"/>
      <c r="B28" s="406"/>
      <c r="C28" s="406"/>
      <c r="D28" s="407"/>
      <c r="E28" s="396"/>
      <c r="F28" s="397"/>
      <c r="G28" s="397"/>
      <c r="H28" s="397"/>
      <c r="I28" s="398"/>
      <c r="J28" s="91" t="str">
        <f>IF(AND('[2]Mapa final'!$Y$24="Media",'[2]Mapa final'!$AA$24="Leve"),CONCATENATE("R3C",'[2]Mapa final'!$O$24),"")</f>
        <v/>
      </c>
      <c r="K28" s="92" t="str">
        <f>IF(AND('[2]Mapa final'!$Y$25="Media",'[2]Mapa final'!$AA$25="Leve"),CONCATENATE("R3C",'[2]Mapa final'!$O$25),"")</f>
        <v/>
      </c>
      <c r="L28" s="92" t="str">
        <f>IF(AND('[2]Mapa final'!$Y$26="Media",'[2]Mapa final'!$AA$26="Leve"),CONCATENATE("R3C",'[2]Mapa final'!$O$26),"")</f>
        <v/>
      </c>
      <c r="M28" s="92" t="str">
        <f>IF(AND('[2]Mapa final'!$Y$27="Media",'[2]Mapa final'!$AA$27="Leve"),CONCATENATE("R3C",'[2]Mapa final'!$O$27),"")</f>
        <v/>
      </c>
      <c r="N28" s="92" t="str">
        <f>IF(AND('[2]Mapa final'!$Y$28="Media",'[2]Mapa final'!$AA$28="Leve"),CONCATENATE("R3C",'[2]Mapa final'!$O$28),"")</f>
        <v/>
      </c>
      <c r="O28" s="93" t="str">
        <f>IF(AND('[2]Mapa final'!$Y$29="Media",'[2]Mapa final'!$AA$29="Leve"),CONCATENATE("R3C",'[2]Mapa final'!$O$29),"")</f>
        <v/>
      </c>
      <c r="P28" s="91" t="str">
        <f>IF(AND('[2]Mapa final'!$Y$24="Media",'[2]Mapa final'!$AA$24="Menor"),CONCATENATE("R3C",'[2]Mapa final'!$O$24),"")</f>
        <v/>
      </c>
      <c r="Q28" s="92" t="str">
        <f>IF(AND('[2]Mapa final'!$Y$25="Media",'[2]Mapa final'!$AA$25="Menor"),CONCATENATE("R3C",'[2]Mapa final'!$O$25),"")</f>
        <v/>
      </c>
      <c r="R28" s="92" t="str">
        <f>IF(AND('[2]Mapa final'!$Y$26="Media",'[2]Mapa final'!$AA$26="Menor"),CONCATENATE("R3C",'[2]Mapa final'!$O$26),"")</f>
        <v/>
      </c>
      <c r="S28" s="92" t="str">
        <f>IF(AND('[2]Mapa final'!$Y$27="Media",'[2]Mapa final'!$AA$27="Menor"),CONCATENATE("R3C",'[2]Mapa final'!$O$27),"")</f>
        <v/>
      </c>
      <c r="T28" s="92" t="str">
        <f>IF(AND('[2]Mapa final'!$Y$28="Media",'[2]Mapa final'!$AA$28="Menor"),CONCATENATE("R3C",'[2]Mapa final'!$O$28),"")</f>
        <v/>
      </c>
      <c r="U28" s="93" t="str">
        <f>IF(AND('[2]Mapa final'!$Y$29="Media",'[2]Mapa final'!$AA$29="Menor"),CONCATENATE("R3C",'[2]Mapa final'!$O$29),"")</f>
        <v/>
      </c>
      <c r="V28" s="91" t="str">
        <f>IF(AND('[2]Mapa final'!$Y$24="Media",'[2]Mapa final'!$AA$24="Moderado"),CONCATENATE("R3C",'[2]Mapa final'!$O$24),"")</f>
        <v/>
      </c>
      <c r="W28" s="92" t="str">
        <f>IF(AND('[2]Mapa final'!$Y$25="Media",'[2]Mapa final'!$AA$25="Moderado"),CONCATENATE("R3C",'[2]Mapa final'!$O$25),"")</f>
        <v/>
      </c>
      <c r="X28" s="92" t="str">
        <f>IF(AND('[2]Mapa final'!$Y$26="Media",'[2]Mapa final'!$AA$26="Moderado"),CONCATENATE("R3C",'[2]Mapa final'!$O$26),"")</f>
        <v/>
      </c>
      <c r="Y28" s="92" t="str">
        <f>IF(AND('[2]Mapa final'!$Y$27="Media",'[2]Mapa final'!$AA$27="Moderado"),CONCATENATE("R3C",'[2]Mapa final'!$O$27),"")</f>
        <v/>
      </c>
      <c r="Z28" s="92" t="str">
        <f>IF(AND('[2]Mapa final'!$Y$28="Media",'[2]Mapa final'!$AA$28="Moderado"),CONCATENATE("R3C",'[2]Mapa final'!$O$28),"")</f>
        <v/>
      </c>
      <c r="AA28" s="93" t="str">
        <f>IF(AND('[2]Mapa final'!$Y$29="Media",'[2]Mapa final'!$AA$29="Moderado"),CONCATENATE("R3C",'[2]Mapa final'!$O$29),"")</f>
        <v/>
      </c>
      <c r="AB28" s="76" t="str">
        <f>IF(AND('[2]Mapa final'!$Y$24="Media",'[2]Mapa final'!$AA$24="Mayor"),CONCATENATE("R3C",'[2]Mapa final'!$O$24),"")</f>
        <v/>
      </c>
      <c r="AC28" s="77" t="str">
        <f>IF(AND('[2]Mapa final'!$Y$25="Media",'[2]Mapa final'!$AA$25="Mayor"),CONCATENATE("R3C",'[2]Mapa final'!$O$25),"")</f>
        <v/>
      </c>
      <c r="AD28" s="77" t="str">
        <f>IF(AND('[2]Mapa final'!$Y$26="Media",'[2]Mapa final'!$AA$26="Mayor"),CONCATENATE("R3C",'[2]Mapa final'!$O$26),"")</f>
        <v/>
      </c>
      <c r="AE28" s="77" t="str">
        <f>IF(AND('[2]Mapa final'!$Y$27="Media",'[2]Mapa final'!$AA$27="Mayor"),CONCATENATE("R3C",'[2]Mapa final'!$O$27),"")</f>
        <v/>
      </c>
      <c r="AF28" s="77" t="str">
        <f>IF(AND('[2]Mapa final'!$Y$28="Media",'[2]Mapa final'!$AA$28="Mayor"),CONCATENATE("R3C",'[2]Mapa final'!$O$28),"")</f>
        <v/>
      </c>
      <c r="AG28" s="78" t="str">
        <f>IF(AND('[2]Mapa final'!$Y$29="Media",'[2]Mapa final'!$AA$29="Mayor"),CONCATENATE("R3C",'[2]Mapa final'!$O$29),"")</f>
        <v/>
      </c>
      <c r="AH28" s="79" t="str">
        <f>IF(AND('[2]Mapa final'!$Y$24="Media",'[2]Mapa final'!$AA$24="Catastrófico"),CONCATENATE("R3C",'[2]Mapa final'!$O$24),"")</f>
        <v/>
      </c>
      <c r="AI28" s="80" t="str">
        <f>IF(AND('[2]Mapa final'!$Y$25="Media",'[2]Mapa final'!$AA$25="Catastrófico"),CONCATENATE("R3C",'[2]Mapa final'!$O$25),"")</f>
        <v/>
      </c>
      <c r="AJ28" s="80" t="str">
        <f>IF(AND('[2]Mapa final'!$Y$26="Media",'[2]Mapa final'!$AA$26="Catastrófico"),CONCATENATE("R3C",'[2]Mapa final'!$O$26),"")</f>
        <v/>
      </c>
      <c r="AK28" s="80" t="str">
        <f>IF(AND('[2]Mapa final'!$Y$27="Media",'[2]Mapa final'!$AA$27="Catastrófico"),CONCATENATE("R3C",'[2]Mapa final'!$O$27),"")</f>
        <v/>
      </c>
      <c r="AL28" s="80" t="str">
        <f>IF(AND('[2]Mapa final'!$Y$28="Media",'[2]Mapa final'!$AA$28="Catastrófico"),CONCATENATE("R3C",'[2]Mapa final'!$O$28),"")</f>
        <v/>
      </c>
      <c r="AM28" s="81" t="str">
        <f>IF(AND('[2]Mapa final'!$Y$29="Media",'[2]Mapa final'!$AA$29="Catastrófico"),CONCATENATE("R3C",'[2]Mapa final'!$O$29),"")</f>
        <v/>
      </c>
      <c r="AN28" s="68"/>
      <c r="AO28" s="430"/>
      <c r="AP28" s="431"/>
      <c r="AQ28" s="431"/>
      <c r="AR28" s="431"/>
      <c r="AS28" s="431"/>
      <c r="AT28" s="432"/>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row>
    <row r="29" spans="1:76" ht="15" customHeight="1">
      <c r="A29" s="68"/>
      <c r="B29" s="406"/>
      <c r="C29" s="406"/>
      <c r="D29" s="407"/>
      <c r="E29" s="396"/>
      <c r="F29" s="397"/>
      <c r="G29" s="397"/>
      <c r="H29" s="397"/>
      <c r="I29" s="398"/>
      <c r="J29" s="91" t="e">
        <f>IF(AND('[2]Mapa final'!$Y$30="Media",'[2]Mapa final'!$AA$30="Leve"),CONCATENATE("R4C",'[2]Mapa final'!$O$30),"")</f>
        <v>#REF!</v>
      </c>
      <c r="K29" s="92" t="str">
        <f>IF(AND('[2]Mapa final'!$Y$31="Media",'[2]Mapa final'!$AA$31="Leve"),CONCATENATE("R4C",'[2]Mapa final'!$O$31),"")</f>
        <v/>
      </c>
      <c r="L29" s="92" t="str">
        <f>IF(AND('[2]Mapa final'!$Y$32="Media",'[2]Mapa final'!$AA$32="Leve"),CONCATENATE("R4C",'[2]Mapa final'!$O$32),"")</f>
        <v/>
      </c>
      <c r="M29" s="92" t="str">
        <f>IF(AND('[2]Mapa final'!$Y$33="Media",'[2]Mapa final'!$AA$33="Leve"),CONCATENATE("R4C",'[2]Mapa final'!$O$33),"")</f>
        <v/>
      </c>
      <c r="N29" s="92" t="str">
        <f>IF(AND('[2]Mapa final'!$Y$34="Media",'[2]Mapa final'!$AA$34="Leve"),CONCATENATE("R4C",'[2]Mapa final'!$O$34),"")</f>
        <v/>
      </c>
      <c r="O29" s="93" t="str">
        <f>IF(AND('[2]Mapa final'!$Y$35="Media",'[2]Mapa final'!$AA$35="Leve"),CONCATENATE("R4C",'[2]Mapa final'!$O$35),"")</f>
        <v/>
      </c>
      <c r="P29" s="91" t="e">
        <f>IF(AND('[2]Mapa final'!$Y$30="Media",'[2]Mapa final'!$AA$30="Menor"),CONCATENATE("R4C",'[2]Mapa final'!$O$30),"")</f>
        <v>#REF!</v>
      </c>
      <c r="Q29" s="92" t="str">
        <f>IF(AND('[2]Mapa final'!$Y$31="Media",'[2]Mapa final'!$AA$31="Menor"),CONCATENATE("R4C",'[2]Mapa final'!$O$31),"")</f>
        <v/>
      </c>
      <c r="R29" s="92" t="str">
        <f>IF(AND('[2]Mapa final'!$Y$32="Media",'[2]Mapa final'!$AA$32="Menor"),CONCATENATE("R4C",'[2]Mapa final'!$O$32),"")</f>
        <v/>
      </c>
      <c r="S29" s="92" t="str">
        <f>IF(AND('[2]Mapa final'!$Y$33="Media",'[2]Mapa final'!$AA$33="Menor"),CONCATENATE("R4C",'[2]Mapa final'!$O$33),"")</f>
        <v/>
      </c>
      <c r="T29" s="92" t="str">
        <f>IF(AND('[2]Mapa final'!$Y$34="Media",'[2]Mapa final'!$AA$34="Menor"),CONCATENATE("R4C",'[2]Mapa final'!$O$34),"")</f>
        <v/>
      </c>
      <c r="U29" s="93" t="str">
        <f>IF(AND('[2]Mapa final'!$Y$35="Media",'[2]Mapa final'!$AA$35="Menor"),CONCATENATE("R4C",'[2]Mapa final'!$O$35),"")</f>
        <v/>
      </c>
      <c r="V29" s="91" t="e">
        <f>IF(AND('[2]Mapa final'!$Y$30="Media",'[2]Mapa final'!$AA$30="Moderado"),CONCATENATE("R4C",'[2]Mapa final'!$O$30),"")</f>
        <v>#REF!</v>
      </c>
      <c r="W29" s="92" t="str">
        <f>IF(AND('[2]Mapa final'!$Y$31="Media",'[2]Mapa final'!$AA$31="Moderado"),CONCATENATE("R4C",'[2]Mapa final'!$O$31),"")</f>
        <v/>
      </c>
      <c r="X29" s="92" t="str">
        <f>IF(AND('[2]Mapa final'!$Y$32="Media",'[2]Mapa final'!$AA$32="Moderado"),CONCATENATE("R4C",'[2]Mapa final'!$O$32),"")</f>
        <v/>
      </c>
      <c r="Y29" s="92" t="str">
        <f>IF(AND('[2]Mapa final'!$Y$33="Media",'[2]Mapa final'!$AA$33="Moderado"),CONCATENATE("R4C",'[2]Mapa final'!$O$33),"")</f>
        <v/>
      </c>
      <c r="Z29" s="92" t="str">
        <f>IF(AND('[2]Mapa final'!$Y$34="Media",'[2]Mapa final'!$AA$34="Moderado"),CONCATENATE("R4C",'[2]Mapa final'!$O$34),"")</f>
        <v/>
      </c>
      <c r="AA29" s="93" t="str">
        <f>IF(AND('[2]Mapa final'!$Y$35="Media",'[2]Mapa final'!$AA$35="Moderado"),CONCATENATE("R4C",'[2]Mapa final'!$O$35),"")</f>
        <v/>
      </c>
      <c r="AB29" s="76" t="e">
        <f>IF(AND('[2]Mapa final'!$Y$30="Media",'[2]Mapa final'!$AA$30="Mayor"),CONCATENATE("R4C",'[2]Mapa final'!$O$30),"")</f>
        <v>#REF!</v>
      </c>
      <c r="AC29" s="77" t="str">
        <f>IF(AND('[2]Mapa final'!$Y$31="Media",'[2]Mapa final'!$AA$31="Mayor"),CONCATENATE("R4C",'[2]Mapa final'!$O$31),"")</f>
        <v/>
      </c>
      <c r="AD29" s="77" t="str">
        <f>IF(AND('[2]Mapa final'!$Y$32="Media",'[2]Mapa final'!$AA$32="Mayor"),CONCATENATE("R4C",'[2]Mapa final'!$O$32),"")</f>
        <v/>
      </c>
      <c r="AE29" s="77" t="str">
        <f>IF(AND('[2]Mapa final'!$Y$33="Media",'[2]Mapa final'!$AA$33="Mayor"),CONCATENATE("R4C",'[2]Mapa final'!$O$33),"")</f>
        <v/>
      </c>
      <c r="AF29" s="77" t="str">
        <f>IF(AND('[2]Mapa final'!$Y$34="Media",'[2]Mapa final'!$AA$34="Mayor"),CONCATENATE("R4C",'[2]Mapa final'!$O$34),"")</f>
        <v/>
      </c>
      <c r="AG29" s="78" t="str">
        <f>IF(AND('[2]Mapa final'!$Y$35="Media",'[2]Mapa final'!$AA$35="Mayor"),CONCATENATE("R4C",'[2]Mapa final'!$O$35),"")</f>
        <v/>
      </c>
      <c r="AH29" s="79" t="e">
        <f>IF(AND('[2]Mapa final'!$Y$30="Media",'[2]Mapa final'!$AA$30="Catastrófico"),CONCATENATE("R4C",'[2]Mapa final'!$O$30),"")</f>
        <v>#REF!</v>
      </c>
      <c r="AI29" s="80" t="str">
        <f>IF(AND('[2]Mapa final'!$Y$31="Media",'[2]Mapa final'!$AA$31="Catastrófico"),CONCATENATE("R4C",'[2]Mapa final'!$O$31),"")</f>
        <v/>
      </c>
      <c r="AJ29" s="80" t="str">
        <f>IF(AND('[2]Mapa final'!$Y$32="Media",'[2]Mapa final'!$AA$32="Catastrófico"),CONCATENATE("R4C",'[2]Mapa final'!$O$32),"")</f>
        <v/>
      </c>
      <c r="AK29" s="80" t="str">
        <f>IF(AND('[2]Mapa final'!$Y$33="Media",'[2]Mapa final'!$AA$33="Catastrófico"),CONCATENATE("R4C",'[2]Mapa final'!$O$33),"")</f>
        <v/>
      </c>
      <c r="AL29" s="80" t="str">
        <f>IF(AND('[2]Mapa final'!$Y$34="Media",'[2]Mapa final'!$AA$34="Catastrófico"),CONCATENATE("R4C",'[2]Mapa final'!$O$34),"")</f>
        <v/>
      </c>
      <c r="AM29" s="81" t="str">
        <f>IF(AND('[2]Mapa final'!$Y$35="Media",'[2]Mapa final'!$AA$35="Catastrófico"),CONCATENATE("R4C",'[2]Mapa final'!$O$35),"")</f>
        <v/>
      </c>
      <c r="AN29" s="68"/>
      <c r="AO29" s="430"/>
      <c r="AP29" s="431"/>
      <c r="AQ29" s="431"/>
      <c r="AR29" s="431"/>
      <c r="AS29" s="431"/>
      <c r="AT29" s="432"/>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row>
    <row r="30" spans="1:76" ht="15" customHeight="1">
      <c r="A30" s="68"/>
      <c r="B30" s="406"/>
      <c r="C30" s="406"/>
      <c r="D30" s="407"/>
      <c r="E30" s="396"/>
      <c r="F30" s="397"/>
      <c r="G30" s="397"/>
      <c r="H30" s="397"/>
      <c r="I30" s="398"/>
      <c r="J30" s="91" t="str">
        <f>IF(AND('[2]Mapa final'!$Y$36="Media",'[2]Mapa final'!$AA$36="Leve"),CONCATENATE("R5C",'[2]Mapa final'!$O$36),"")</f>
        <v/>
      </c>
      <c r="K30" s="92" t="str">
        <f>IF(AND('[2]Mapa final'!$Y$37="Media",'[2]Mapa final'!$AA$37="Leve"),CONCATENATE("R5C",'[2]Mapa final'!$O$37),"")</f>
        <v/>
      </c>
      <c r="L30" s="92" t="str">
        <f>IF(AND('[2]Mapa final'!$Y$38="Media",'[2]Mapa final'!$AA$38="Leve"),CONCATENATE("R5C",'[2]Mapa final'!$O$38),"")</f>
        <v/>
      </c>
      <c r="M30" s="92" t="str">
        <f>IF(AND('[2]Mapa final'!$Y$39="Media",'[2]Mapa final'!$AA$39="Leve"),CONCATENATE("R5C",'[2]Mapa final'!$O$39),"")</f>
        <v/>
      </c>
      <c r="N30" s="92" t="str">
        <f>IF(AND('[2]Mapa final'!$Y$40="Media",'[2]Mapa final'!$AA$40="Leve"),CONCATENATE("R5C",'[2]Mapa final'!$O$40),"")</f>
        <v/>
      </c>
      <c r="O30" s="93" t="str">
        <f>IF(AND('[2]Mapa final'!$Y$41="Media",'[2]Mapa final'!$AA$41="Leve"),CONCATENATE("R5C",'[2]Mapa final'!$O$41),"")</f>
        <v/>
      </c>
      <c r="P30" s="91" t="str">
        <f>IF(AND('[2]Mapa final'!$Y$36="Media",'[2]Mapa final'!$AA$36="Menor"),CONCATENATE("R5C",'[2]Mapa final'!$O$36),"")</f>
        <v/>
      </c>
      <c r="Q30" s="92" t="str">
        <f>IF(AND('[2]Mapa final'!$Y$37="Media",'[2]Mapa final'!$AA$37="Menor"),CONCATENATE("R5C",'[2]Mapa final'!$O$37),"")</f>
        <v/>
      </c>
      <c r="R30" s="92" t="str">
        <f>IF(AND('[2]Mapa final'!$Y$38="Media",'[2]Mapa final'!$AA$38="Menor"),CONCATENATE("R5C",'[2]Mapa final'!$O$38),"")</f>
        <v/>
      </c>
      <c r="S30" s="92" t="str">
        <f>IF(AND('[2]Mapa final'!$Y$39="Media",'[2]Mapa final'!$AA$39="Menor"),CONCATENATE("R5C",'[2]Mapa final'!$O$39),"")</f>
        <v/>
      </c>
      <c r="T30" s="92" t="str">
        <f>IF(AND('[2]Mapa final'!$Y$40="Media",'[2]Mapa final'!$AA$40="Menor"),CONCATENATE("R5C",'[2]Mapa final'!$O$40),"")</f>
        <v/>
      </c>
      <c r="U30" s="93" t="str">
        <f>IF(AND('[2]Mapa final'!$Y$41="Media",'[2]Mapa final'!$AA$41="Menor"),CONCATENATE("R5C",'[2]Mapa final'!$O$41),"")</f>
        <v/>
      </c>
      <c r="V30" s="91" t="str">
        <f>IF(AND('[2]Mapa final'!$Y$36="Media",'[2]Mapa final'!$AA$36="Moderado"),CONCATENATE("R5C",'[2]Mapa final'!$O$36),"")</f>
        <v/>
      </c>
      <c r="W30" s="92" t="str">
        <f>IF(AND('[2]Mapa final'!$Y$37="Media",'[2]Mapa final'!$AA$37="Moderado"),CONCATENATE("R5C",'[2]Mapa final'!$O$37),"")</f>
        <v/>
      </c>
      <c r="X30" s="92" t="str">
        <f>IF(AND('[2]Mapa final'!$Y$38="Media",'[2]Mapa final'!$AA$38="Moderado"),CONCATENATE("R5C",'[2]Mapa final'!$O$38),"")</f>
        <v/>
      </c>
      <c r="Y30" s="92" t="str">
        <f>IF(AND('[2]Mapa final'!$Y$39="Media",'[2]Mapa final'!$AA$39="Moderado"),CONCATENATE("R5C",'[2]Mapa final'!$O$39),"")</f>
        <v/>
      </c>
      <c r="Z30" s="92" t="str">
        <f>IF(AND('[2]Mapa final'!$Y$40="Media",'[2]Mapa final'!$AA$40="Moderado"),CONCATENATE("R5C",'[2]Mapa final'!$O$40),"")</f>
        <v/>
      </c>
      <c r="AA30" s="93" t="str">
        <f>IF(AND('[2]Mapa final'!$Y$41="Media",'[2]Mapa final'!$AA$41="Moderado"),CONCATENATE("R5C",'[2]Mapa final'!$O$41),"")</f>
        <v/>
      </c>
      <c r="AB30" s="76" t="str">
        <f>IF(AND('[2]Mapa final'!$Y$36="Media",'[2]Mapa final'!$AA$36="Mayor"),CONCATENATE("R5C",'[2]Mapa final'!$O$36),"")</f>
        <v/>
      </c>
      <c r="AC30" s="77" t="str">
        <f>IF(AND('[2]Mapa final'!$Y$37="Media",'[2]Mapa final'!$AA$37="Mayor"),CONCATENATE("R5C",'[2]Mapa final'!$O$37),"")</f>
        <v/>
      </c>
      <c r="AD30" s="77" t="str">
        <f>IF(AND('[2]Mapa final'!$Y$38="Media",'[2]Mapa final'!$AA$38="Mayor"),CONCATENATE("R5C",'[2]Mapa final'!$O$38),"")</f>
        <v/>
      </c>
      <c r="AE30" s="77" t="str">
        <f>IF(AND('[2]Mapa final'!$Y$39="Media",'[2]Mapa final'!$AA$39="Mayor"),CONCATENATE("R5C",'[2]Mapa final'!$O$39),"")</f>
        <v/>
      </c>
      <c r="AF30" s="77" t="str">
        <f>IF(AND('[2]Mapa final'!$Y$40="Media",'[2]Mapa final'!$AA$40="Mayor"),CONCATENATE("R5C",'[2]Mapa final'!$O$40),"")</f>
        <v/>
      </c>
      <c r="AG30" s="78" t="str">
        <f>IF(AND('[2]Mapa final'!$Y$41="Media",'[2]Mapa final'!$AA$41="Mayor"),CONCATENATE("R5C",'[2]Mapa final'!$O$41),"")</f>
        <v/>
      </c>
      <c r="AH30" s="79" t="str">
        <f>IF(AND('[2]Mapa final'!$Y$36="Media",'[2]Mapa final'!$AA$36="Catastrófico"),CONCATENATE("R5C",'[2]Mapa final'!$O$36),"")</f>
        <v/>
      </c>
      <c r="AI30" s="80" t="str">
        <f>IF(AND('[2]Mapa final'!$Y$37="Media",'[2]Mapa final'!$AA$37="Catastrófico"),CONCATENATE("R5C",'[2]Mapa final'!$O$37),"")</f>
        <v/>
      </c>
      <c r="AJ30" s="80" t="str">
        <f>IF(AND('[2]Mapa final'!$Y$38="Media",'[2]Mapa final'!$AA$38="Catastrófico"),CONCATENATE("R5C",'[2]Mapa final'!$O$38),"")</f>
        <v/>
      </c>
      <c r="AK30" s="80" t="str">
        <f>IF(AND('[2]Mapa final'!$Y$39="Media",'[2]Mapa final'!$AA$39="Catastrófico"),CONCATENATE("R5C",'[2]Mapa final'!$O$39),"")</f>
        <v/>
      </c>
      <c r="AL30" s="80" t="str">
        <f>IF(AND('[2]Mapa final'!$Y$40="Media",'[2]Mapa final'!$AA$40="Catastrófico"),CONCATENATE("R5C",'[2]Mapa final'!$O$40),"")</f>
        <v/>
      </c>
      <c r="AM30" s="81" t="str">
        <f>IF(AND('[2]Mapa final'!$Y$41="Media",'[2]Mapa final'!$AA$41="Catastrófico"),CONCATENATE("R5C",'[2]Mapa final'!$O$41),"")</f>
        <v/>
      </c>
      <c r="AN30" s="68"/>
      <c r="AO30" s="430"/>
      <c r="AP30" s="431"/>
      <c r="AQ30" s="431"/>
      <c r="AR30" s="431"/>
      <c r="AS30" s="431"/>
      <c r="AT30" s="432"/>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row>
    <row r="31" spans="1:76" ht="15" customHeight="1">
      <c r="A31" s="68"/>
      <c r="B31" s="406"/>
      <c r="C31" s="406"/>
      <c r="D31" s="407"/>
      <c r="E31" s="396"/>
      <c r="F31" s="397"/>
      <c r="G31" s="397"/>
      <c r="H31" s="397"/>
      <c r="I31" s="398"/>
      <c r="J31" s="91" t="str">
        <f>IF(AND('[2]Mapa final'!$Y$42="Media",'[2]Mapa final'!$AA$42="Leve"),CONCATENATE("R6C",'[2]Mapa final'!$O$42),"")</f>
        <v/>
      </c>
      <c r="K31" s="92" t="str">
        <f>IF(AND('[2]Mapa final'!$Y$43="Media",'[2]Mapa final'!$AA$43="Leve"),CONCATENATE("R6C",'[2]Mapa final'!$O$43),"")</f>
        <v/>
      </c>
      <c r="L31" s="92" t="str">
        <f>IF(AND('[2]Mapa final'!$Y$44="Media",'[2]Mapa final'!$AA$44="Leve"),CONCATENATE("R6C",'[2]Mapa final'!$O$44),"")</f>
        <v/>
      </c>
      <c r="M31" s="92" t="str">
        <f>IF(AND('[2]Mapa final'!$Y$45="Media",'[2]Mapa final'!$AA$45="Leve"),CONCATENATE("R6C",'[2]Mapa final'!$O$45),"")</f>
        <v/>
      </c>
      <c r="N31" s="92" t="str">
        <f>IF(AND('[2]Mapa final'!$Y$46="Media",'[2]Mapa final'!$AA$46="Leve"),CONCATENATE("R6C",'[2]Mapa final'!$O$46),"")</f>
        <v/>
      </c>
      <c r="O31" s="93" t="str">
        <f>IF(AND('[2]Mapa final'!$Y$47="Media",'[2]Mapa final'!$AA$47="Leve"),CONCATENATE("R6C",'[2]Mapa final'!$O$47),"")</f>
        <v/>
      </c>
      <c r="P31" s="91" t="str">
        <f>IF(AND('[2]Mapa final'!$Y$42="Media",'[2]Mapa final'!$AA$42="Menor"),CONCATENATE("R6C",'[2]Mapa final'!$O$42),"")</f>
        <v/>
      </c>
      <c r="Q31" s="92" t="str">
        <f>IF(AND('[2]Mapa final'!$Y$43="Media",'[2]Mapa final'!$AA$43="Menor"),CONCATENATE("R6C",'[2]Mapa final'!$O$43),"")</f>
        <v/>
      </c>
      <c r="R31" s="92" t="str">
        <f>IF(AND('[2]Mapa final'!$Y$44="Media",'[2]Mapa final'!$AA$44="Menor"),CONCATENATE("R6C",'[2]Mapa final'!$O$44),"")</f>
        <v/>
      </c>
      <c r="S31" s="92" t="str">
        <f>IF(AND('[2]Mapa final'!$Y$45="Media",'[2]Mapa final'!$AA$45="Menor"),CONCATENATE("R6C",'[2]Mapa final'!$O$45),"")</f>
        <v/>
      </c>
      <c r="T31" s="92" t="str">
        <f>IF(AND('[2]Mapa final'!$Y$46="Media",'[2]Mapa final'!$AA$46="Menor"),CONCATENATE("R6C",'[2]Mapa final'!$O$46),"")</f>
        <v/>
      </c>
      <c r="U31" s="93" t="str">
        <f>IF(AND('[2]Mapa final'!$Y$47="Media",'[2]Mapa final'!$AA$47="Menor"),CONCATENATE("R6C",'[2]Mapa final'!$O$47),"")</f>
        <v/>
      </c>
      <c r="V31" s="91" t="str">
        <f>IF(AND('[2]Mapa final'!$Y$42="Media",'[2]Mapa final'!$AA$42="Moderado"),CONCATENATE("R6C",'[2]Mapa final'!$O$42),"")</f>
        <v/>
      </c>
      <c r="W31" s="92" t="str">
        <f>IF(AND('[2]Mapa final'!$Y$43="Media",'[2]Mapa final'!$AA$43="Moderado"),CONCATENATE("R6C",'[2]Mapa final'!$O$43),"")</f>
        <v/>
      </c>
      <c r="X31" s="92" t="str">
        <f>IF(AND('[2]Mapa final'!$Y$44="Media",'[2]Mapa final'!$AA$44="Moderado"),CONCATENATE("R6C",'[2]Mapa final'!$O$44),"")</f>
        <v/>
      </c>
      <c r="Y31" s="92" t="str">
        <f>IF(AND('[2]Mapa final'!$Y$45="Media",'[2]Mapa final'!$AA$45="Moderado"),CONCATENATE("R6C",'[2]Mapa final'!$O$45),"")</f>
        <v/>
      </c>
      <c r="Z31" s="92" t="str">
        <f>IF(AND('[2]Mapa final'!$Y$46="Media",'[2]Mapa final'!$AA$46="Moderado"),CONCATENATE("R6C",'[2]Mapa final'!$O$46),"")</f>
        <v/>
      </c>
      <c r="AA31" s="93" t="str">
        <f>IF(AND('[2]Mapa final'!$Y$47="Media",'[2]Mapa final'!$AA$47="Moderado"),CONCATENATE("R6C",'[2]Mapa final'!$O$47),"")</f>
        <v/>
      </c>
      <c r="AB31" s="76" t="str">
        <f>IF(AND('[2]Mapa final'!$Y$42="Media",'[2]Mapa final'!$AA$42="Mayor"),CONCATENATE("R6C",'[2]Mapa final'!$O$42),"")</f>
        <v/>
      </c>
      <c r="AC31" s="77" t="str">
        <f>IF(AND('[2]Mapa final'!$Y$43="Media",'[2]Mapa final'!$AA$43="Mayor"),CONCATENATE("R6C",'[2]Mapa final'!$O$43),"")</f>
        <v/>
      </c>
      <c r="AD31" s="77" t="str">
        <f>IF(AND('[2]Mapa final'!$Y$44="Media",'[2]Mapa final'!$AA$44="Mayor"),CONCATENATE("R6C",'[2]Mapa final'!$O$44),"")</f>
        <v/>
      </c>
      <c r="AE31" s="77" t="str">
        <f>IF(AND('[2]Mapa final'!$Y$45="Media",'[2]Mapa final'!$AA$45="Mayor"),CONCATENATE("R6C",'[2]Mapa final'!$O$45),"")</f>
        <v/>
      </c>
      <c r="AF31" s="77" t="str">
        <f>IF(AND('[2]Mapa final'!$Y$46="Media",'[2]Mapa final'!$AA$46="Mayor"),CONCATENATE("R6C",'[2]Mapa final'!$O$46),"")</f>
        <v/>
      </c>
      <c r="AG31" s="78" t="str">
        <f>IF(AND('[2]Mapa final'!$Y$47="Media",'[2]Mapa final'!$AA$47="Mayor"),CONCATENATE("R6C",'[2]Mapa final'!$O$47),"")</f>
        <v/>
      </c>
      <c r="AH31" s="79" t="str">
        <f>IF(AND('[2]Mapa final'!$Y$42="Media",'[2]Mapa final'!$AA$42="Catastrófico"),CONCATENATE("R6C",'[2]Mapa final'!$O$42),"")</f>
        <v/>
      </c>
      <c r="AI31" s="80" t="str">
        <f>IF(AND('[2]Mapa final'!$Y$43="Media",'[2]Mapa final'!$AA$43="Catastrófico"),CONCATENATE("R6C",'[2]Mapa final'!$O$43),"")</f>
        <v/>
      </c>
      <c r="AJ31" s="80" t="str">
        <f>IF(AND('[2]Mapa final'!$Y$44="Media",'[2]Mapa final'!$AA$44="Catastrófico"),CONCATENATE("R6C",'[2]Mapa final'!$O$44),"")</f>
        <v/>
      </c>
      <c r="AK31" s="80" t="str">
        <f>IF(AND('[2]Mapa final'!$Y$45="Media",'[2]Mapa final'!$AA$45="Catastrófico"),CONCATENATE("R6C",'[2]Mapa final'!$O$45),"")</f>
        <v/>
      </c>
      <c r="AL31" s="80" t="str">
        <f>IF(AND('[2]Mapa final'!$Y$46="Media",'[2]Mapa final'!$AA$46="Catastrófico"),CONCATENATE("R6C",'[2]Mapa final'!$O$46),"")</f>
        <v/>
      </c>
      <c r="AM31" s="81" t="str">
        <f>IF(AND('[2]Mapa final'!$Y$47="Media",'[2]Mapa final'!$AA$47="Catastrófico"),CONCATENATE("R6C",'[2]Mapa final'!$O$47),"")</f>
        <v/>
      </c>
      <c r="AN31" s="68"/>
      <c r="AO31" s="430"/>
      <c r="AP31" s="431"/>
      <c r="AQ31" s="431"/>
      <c r="AR31" s="431"/>
      <c r="AS31" s="431"/>
      <c r="AT31" s="432"/>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row>
    <row r="32" spans="1:76" ht="15" customHeight="1">
      <c r="A32" s="68"/>
      <c r="B32" s="406"/>
      <c r="C32" s="406"/>
      <c r="D32" s="407"/>
      <c r="E32" s="396"/>
      <c r="F32" s="397"/>
      <c r="G32" s="397"/>
      <c r="H32" s="397"/>
      <c r="I32" s="398"/>
      <c r="J32" s="91" t="str">
        <f>IF(AND('[2]Mapa final'!$Y$48="Media",'[2]Mapa final'!$AA$48="Leve"),CONCATENATE("R7C",'[2]Mapa final'!$O$48),"")</f>
        <v/>
      </c>
      <c r="K32" s="92" t="str">
        <f>IF(AND('[2]Mapa final'!$Y$49="Media",'[2]Mapa final'!$AA$49="Leve"),CONCATENATE("R7C",'[2]Mapa final'!$O$49),"")</f>
        <v/>
      </c>
      <c r="L32" s="92" t="str">
        <f>IF(AND('[2]Mapa final'!$Y$50="Media",'[2]Mapa final'!$AA$50="Leve"),CONCATENATE("R7C",'[2]Mapa final'!$O$50),"")</f>
        <v/>
      </c>
      <c r="M32" s="92" t="str">
        <f>IF(AND('[2]Mapa final'!$Y$51="Media",'[2]Mapa final'!$AA$51="Leve"),CONCATENATE("R7C",'[2]Mapa final'!$O$51),"")</f>
        <v/>
      </c>
      <c r="N32" s="92" t="str">
        <f>IF(AND('[2]Mapa final'!$Y$52="Media",'[2]Mapa final'!$AA$52="Leve"),CONCATENATE("R7C",'[2]Mapa final'!$O$52),"")</f>
        <v/>
      </c>
      <c r="O32" s="93" t="str">
        <f>IF(AND('[2]Mapa final'!$Y$53="Media",'[2]Mapa final'!$AA$53="Leve"),CONCATENATE("R7C",'[2]Mapa final'!$O$53),"")</f>
        <v/>
      </c>
      <c r="P32" s="91" t="str">
        <f>IF(AND('[2]Mapa final'!$Y$48="Media",'[2]Mapa final'!$AA$48="Menor"),CONCATENATE("R7C",'[2]Mapa final'!$O$48),"")</f>
        <v/>
      </c>
      <c r="Q32" s="92" t="str">
        <f>IF(AND('[2]Mapa final'!$Y$49="Media",'[2]Mapa final'!$AA$49="Menor"),CONCATENATE("R7C",'[2]Mapa final'!$O$49),"")</f>
        <v/>
      </c>
      <c r="R32" s="92" t="str">
        <f>IF(AND('[2]Mapa final'!$Y$50="Media",'[2]Mapa final'!$AA$50="Menor"),CONCATENATE("R7C",'[2]Mapa final'!$O$50),"")</f>
        <v/>
      </c>
      <c r="S32" s="92" t="str">
        <f>IF(AND('[2]Mapa final'!$Y$51="Media",'[2]Mapa final'!$AA$51="Menor"),CONCATENATE("R7C",'[2]Mapa final'!$O$51),"")</f>
        <v/>
      </c>
      <c r="T32" s="92" t="str">
        <f>IF(AND('[2]Mapa final'!$Y$52="Media",'[2]Mapa final'!$AA$52="Menor"),CONCATENATE("R7C",'[2]Mapa final'!$O$52),"")</f>
        <v/>
      </c>
      <c r="U32" s="93" t="str">
        <f>IF(AND('[2]Mapa final'!$Y$53="Media",'[2]Mapa final'!$AA$53="Menor"),CONCATENATE("R7C",'[2]Mapa final'!$O$53),"")</f>
        <v/>
      </c>
      <c r="V32" s="91" t="str">
        <f>IF(AND('[2]Mapa final'!$Y$48="Media",'[2]Mapa final'!$AA$48="Moderado"),CONCATENATE("R7C",'[2]Mapa final'!$O$48),"")</f>
        <v/>
      </c>
      <c r="W32" s="92" t="str">
        <f>IF(AND('[2]Mapa final'!$Y$49="Media",'[2]Mapa final'!$AA$49="Moderado"),CONCATENATE("R7C",'[2]Mapa final'!$O$49),"")</f>
        <v/>
      </c>
      <c r="X32" s="92" t="str">
        <f>IF(AND('[2]Mapa final'!$Y$50="Media",'[2]Mapa final'!$AA$50="Moderado"),CONCATENATE("R7C",'[2]Mapa final'!$O$50),"")</f>
        <v/>
      </c>
      <c r="Y32" s="92" t="str">
        <f>IF(AND('[2]Mapa final'!$Y$51="Media",'[2]Mapa final'!$AA$51="Moderado"),CONCATENATE("R7C",'[2]Mapa final'!$O$51),"")</f>
        <v/>
      </c>
      <c r="Z32" s="92" t="str">
        <f>IF(AND('[2]Mapa final'!$Y$52="Media",'[2]Mapa final'!$AA$52="Moderado"),CONCATENATE("R7C",'[2]Mapa final'!$O$52),"")</f>
        <v/>
      </c>
      <c r="AA32" s="93" t="str">
        <f>IF(AND('[2]Mapa final'!$Y$53="Media",'[2]Mapa final'!$AA$53="Moderado"),CONCATENATE("R7C",'[2]Mapa final'!$O$53),"")</f>
        <v/>
      </c>
      <c r="AB32" s="76" t="str">
        <f>IF(AND('[2]Mapa final'!$Y$48="Media",'[2]Mapa final'!$AA$48="Mayor"),CONCATENATE("R7C",'[2]Mapa final'!$O$48),"")</f>
        <v>R7C1</v>
      </c>
      <c r="AC32" s="77" t="str">
        <f>IF(AND('[2]Mapa final'!$Y$49="Media",'[2]Mapa final'!$AA$49="Mayor"),CONCATENATE("R7C",'[2]Mapa final'!$O$49),"")</f>
        <v/>
      </c>
      <c r="AD32" s="77" t="str">
        <f>IF(AND('[2]Mapa final'!$Y$50="Media",'[2]Mapa final'!$AA$50="Mayor"),CONCATENATE("R7C",'[2]Mapa final'!$O$50),"")</f>
        <v/>
      </c>
      <c r="AE32" s="77" t="str">
        <f>IF(AND('[2]Mapa final'!$Y$51="Media",'[2]Mapa final'!$AA$51="Mayor"),CONCATENATE("R7C",'[2]Mapa final'!$O$51),"")</f>
        <v/>
      </c>
      <c r="AF32" s="77" t="str">
        <f>IF(AND('[2]Mapa final'!$Y$52="Media",'[2]Mapa final'!$AA$52="Mayor"),CONCATENATE("R7C",'[2]Mapa final'!$O$52),"")</f>
        <v/>
      </c>
      <c r="AG32" s="78" t="str">
        <f>IF(AND('[2]Mapa final'!$Y$53="Media",'[2]Mapa final'!$AA$53="Mayor"),CONCATENATE("R7C",'[2]Mapa final'!$O$53),"")</f>
        <v/>
      </c>
      <c r="AH32" s="79" t="str">
        <f>IF(AND('[2]Mapa final'!$Y$48="Media",'[2]Mapa final'!$AA$48="Catastrófico"),CONCATENATE("R7C",'[2]Mapa final'!$O$48),"")</f>
        <v/>
      </c>
      <c r="AI32" s="80" t="str">
        <f>IF(AND('[2]Mapa final'!$Y$49="Media",'[2]Mapa final'!$AA$49="Catastrófico"),CONCATENATE("R7C",'[2]Mapa final'!$O$49),"")</f>
        <v/>
      </c>
      <c r="AJ32" s="80" t="str">
        <f>IF(AND('[2]Mapa final'!$Y$50="Media",'[2]Mapa final'!$AA$50="Catastrófico"),CONCATENATE("R7C",'[2]Mapa final'!$O$50),"")</f>
        <v/>
      </c>
      <c r="AK32" s="80" t="str">
        <f>IF(AND('[2]Mapa final'!$Y$51="Media",'[2]Mapa final'!$AA$51="Catastrófico"),CONCATENATE("R7C",'[2]Mapa final'!$O$51),"")</f>
        <v/>
      </c>
      <c r="AL32" s="80" t="str">
        <f>IF(AND('[2]Mapa final'!$Y$52="Media",'[2]Mapa final'!$AA$52="Catastrófico"),CONCATENATE("R7C",'[2]Mapa final'!$O$52),"")</f>
        <v/>
      </c>
      <c r="AM32" s="81" t="str">
        <f>IF(AND('[2]Mapa final'!$Y$53="Media",'[2]Mapa final'!$AA$53="Catastrófico"),CONCATENATE("R7C",'[2]Mapa final'!$O$53),"")</f>
        <v/>
      </c>
      <c r="AN32" s="68"/>
      <c r="AO32" s="430"/>
      <c r="AP32" s="431"/>
      <c r="AQ32" s="431"/>
      <c r="AR32" s="431"/>
      <c r="AS32" s="431"/>
      <c r="AT32" s="432"/>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row>
    <row r="33" spans="1:80" ht="15" customHeight="1">
      <c r="A33" s="68"/>
      <c r="B33" s="406"/>
      <c r="C33" s="406"/>
      <c r="D33" s="407"/>
      <c r="E33" s="396"/>
      <c r="F33" s="397"/>
      <c r="G33" s="397"/>
      <c r="H33" s="397"/>
      <c r="I33" s="398"/>
      <c r="J33" s="91" t="str">
        <f>IF(AND('[2]Mapa final'!$Y$54="Media",'[2]Mapa final'!$AA$54="Leve"),CONCATENATE("R8C",'[2]Mapa final'!$O$54),"")</f>
        <v/>
      </c>
      <c r="K33" s="92" t="str">
        <f>IF(AND('[2]Mapa final'!$Y$55="Media",'[2]Mapa final'!$AA$55="Leve"),CONCATENATE("R8C",'[2]Mapa final'!$O$55),"")</f>
        <v/>
      </c>
      <c r="L33" s="92" t="str">
        <f>IF(AND('[2]Mapa final'!$Y$56="Media",'[2]Mapa final'!$AA$56="Leve"),CONCATENATE("R8C",'[2]Mapa final'!$O$56),"")</f>
        <v/>
      </c>
      <c r="M33" s="92" t="str">
        <f>IF(AND('[2]Mapa final'!$Y$57="Media",'[2]Mapa final'!$AA$57="Leve"),CONCATENATE("R8C",'[2]Mapa final'!$O$57),"")</f>
        <v/>
      </c>
      <c r="N33" s="92" t="str">
        <f>IF(AND('[2]Mapa final'!$Y$58="Media",'[2]Mapa final'!$AA$58="Leve"),CONCATENATE("R8C",'[2]Mapa final'!$O$58),"")</f>
        <v/>
      </c>
      <c r="O33" s="93" t="str">
        <f>IF(AND('[2]Mapa final'!$Y$59="Media",'[2]Mapa final'!$AA$59="Leve"),CONCATENATE("R8C",'[2]Mapa final'!$O$59),"")</f>
        <v/>
      </c>
      <c r="P33" s="91" t="str">
        <f>IF(AND('[2]Mapa final'!$Y$54="Media",'[2]Mapa final'!$AA$54="Menor"),CONCATENATE("R8C",'[2]Mapa final'!$O$54),"")</f>
        <v/>
      </c>
      <c r="Q33" s="92" t="str">
        <f>IF(AND('[2]Mapa final'!$Y$55="Media",'[2]Mapa final'!$AA$55="Menor"),CONCATENATE("R8C",'[2]Mapa final'!$O$55),"")</f>
        <v/>
      </c>
      <c r="R33" s="92" t="str">
        <f>IF(AND('[2]Mapa final'!$Y$56="Media",'[2]Mapa final'!$AA$56="Menor"),CONCATENATE("R8C",'[2]Mapa final'!$O$56),"")</f>
        <v/>
      </c>
      <c r="S33" s="92" t="str">
        <f>IF(AND('[2]Mapa final'!$Y$57="Media",'[2]Mapa final'!$AA$57="Menor"),CONCATENATE("R8C",'[2]Mapa final'!$O$57),"")</f>
        <v/>
      </c>
      <c r="T33" s="92" t="str">
        <f>IF(AND('[2]Mapa final'!$Y$58="Media",'[2]Mapa final'!$AA$58="Menor"),CONCATENATE("R8C",'[2]Mapa final'!$O$58),"")</f>
        <v/>
      </c>
      <c r="U33" s="93" t="str">
        <f>IF(AND('[2]Mapa final'!$Y$59="Media",'[2]Mapa final'!$AA$59="Menor"),CONCATENATE("R8C",'[2]Mapa final'!$O$59),"")</f>
        <v/>
      </c>
      <c r="V33" s="91" t="str">
        <f>IF(AND('[2]Mapa final'!$Y$54="Media",'[2]Mapa final'!$AA$54="Moderado"),CONCATENATE("R8C",'[2]Mapa final'!$O$54),"")</f>
        <v/>
      </c>
      <c r="W33" s="92" t="str">
        <f>IF(AND('[2]Mapa final'!$Y$55="Media",'[2]Mapa final'!$AA$55="Moderado"),CONCATENATE("R8C",'[2]Mapa final'!$O$55),"")</f>
        <v/>
      </c>
      <c r="X33" s="92" t="str">
        <f>IF(AND('[2]Mapa final'!$Y$56="Media",'[2]Mapa final'!$AA$56="Moderado"),CONCATENATE("R8C",'[2]Mapa final'!$O$56),"")</f>
        <v/>
      </c>
      <c r="Y33" s="92" t="str">
        <f>IF(AND('[2]Mapa final'!$Y$57="Media",'[2]Mapa final'!$AA$57="Moderado"),CONCATENATE("R8C",'[2]Mapa final'!$O$57),"")</f>
        <v/>
      </c>
      <c r="Z33" s="92" t="str">
        <f>IF(AND('[2]Mapa final'!$Y$58="Media",'[2]Mapa final'!$AA$58="Moderado"),CONCATENATE("R8C",'[2]Mapa final'!$O$58),"")</f>
        <v/>
      </c>
      <c r="AA33" s="93" t="str">
        <f>IF(AND('[2]Mapa final'!$Y$59="Media",'[2]Mapa final'!$AA$59="Moderado"),CONCATENATE("R8C",'[2]Mapa final'!$O$59),"")</f>
        <v/>
      </c>
      <c r="AB33" s="76" t="str">
        <f>IF(AND('[2]Mapa final'!$Y$54="Media",'[2]Mapa final'!$AA$54="Mayor"),CONCATENATE("R8C",'[2]Mapa final'!$O$54),"")</f>
        <v/>
      </c>
      <c r="AC33" s="77" t="str">
        <f>IF(AND('[2]Mapa final'!$Y$55="Media",'[2]Mapa final'!$AA$55="Mayor"),CONCATENATE("R8C",'[2]Mapa final'!$O$55),"")</f>
        <v/>
      </c>
      <c r="AD33" s="77" t="str">
        <f>IF(AND('[2]Mapa final'!$Y$56="Media",'[2]Mapa final'!$AA$56="Mayor"),CONCATENATE("R8C",'[2]Mapa final'!$O$56),"")</f>
        <v/>
      </c>
      <c r="AE33" s="77" t="str">
        <f>IF(AND('[2]Mapa final'!$Y$57="Media",'[2]Mapa final'!$AA$57="Mayor"),CONCATENATE("R8C",'[2]Mapa final'!$O$57),"")</f>
        <v/>
      </c>
      <c r="AF33" s="77" t="str">
        <f>IF(AND('[2]Mapa final'!$Y$58="Media",'[2]Mapa final'!$AA$58="Mayor"),CONCATENATE("R8C",'[2]Mapa final'!$O$58),"")</f>
        <v/>
      </c>
      <c r="AG33" s="78" t="str">
        <f>IF(AND('[2]Mapa final'!$Y$59="Media",'[2]Mapa final'!$AA$59="Mayor"),CONCATENATE("R8C",'[2]Mapa final'!$O$59),"")</f>
        <v/>
      </c>
      <c r="AH33" s="79" t="str">
        <f>IF(AND('[2]Mapa final'!$Y$54="Media",'[2]Mapa final'!$AA$54="Catastrófico"),CONCATENATE("R8C",'[2]Mapa final'!$O$54),"")</f>
        <v/>
      </c>
      <c r="AI33" s="80" t="str">
        <f>IF(AND('[2]Mapa final'!$Y$55="Media",'[2]Mapa final'!$AA$55="Catastrófico"),CONCATENATE("R8C",'[2]Mapa final'!$O$55),"")</f>
        <v/>
      </c>
      <c r="AJ33" s="80" t="str">
        <f>IF(AND('[2]Mapa final'!$Y$56="Media",'[2]Mapa final'!$AA$56="Catastrófico"),CONCATENATE("R8C",'[2]Mapa final'!$O$56),"")</f>
        <v/>
      </c>
      <c r="AK33" s="80" t="str">
        <f>IF(AND('[2]Mapa final'!$Y$57="Media",'[2]Mapa final'!$AA$57="Catastrófico"),CONCATENATE("R8C",'[2]Mapa final'!$O$57),"")</f>
        <v/>
      </c>
      <c r="AL33" s="80" t="str">
        <f>IF(AND('[2]Mapa final'!$Y$58="Media",'[2]Mapa final'!$AA$58="Catastrófico"),CONCATENATE("R8C",'[2]Mapa final'!$O$58),"")</f>
        <v/>
      </c>
      <c r="AM33" s="81" t="str">
        <f>IF(AND('[2]Mapa final'!$Y$59="Media",'[2]Mapa final'!$AA$59="Catastrófico"),CONCATENATE("R8C",'[2]Mapa final'!$O$59),"")</f>
        <v/>
      </c>
      <c r="AN33" s="68"/>
      <c r="AO33" s="430"/>
      <c r="AP33" s="431"/>
      <c r="AQ33" s="431"/>
      <c r="AR33" s="431"/>
      <c r="AS33" s="431"/>
      <c r="AT33" s="432"/>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row>
    <row r="34" spans="1:80" ht="15" customHeight="1">
      <c r="A34" s="68"/>
      <c r="B34" s="406"/>
      <c r="C34" s="406"/>
      <c r="D34" s="407"/>
      <c r="E34" s="396"/>
      <c r="F34" s="397"/>
      <c r="G34" s="397"/>
      <c r="H34" s="397"/>
      <c r="I34" s="398"/>
      <c r="J34" s="91" t="str">
        <f>IF(AND('[2]Mapa final'!$Y$60="Media",'[2]Mapa final'!$AA$60="Leve"),CONCATENATE("R9C",'[2]Mapa final'!$O$60),"")</f>
        <v/>
      </c>
      <c r="K34" s="92" t="str">
        <f>IF(AND('[2]Mapa final'!$Y$61="Media",'[2]Mapa final'!$AA$61="Leve"),CONCATENATE("R9C",'[2]Mapa final'!$O$61),"")</f>
        <v/>
      </c>
      <c r="L34" s="92" t="str">
        <f>IF(AND('[2]Mapa final'!$Y$62="Media",'[2]Mapa final'!$AA$62="Leve"),CONCATENATE("R9C",'[2]Mapa final'!$O$62),"")</f>
        <v/>
      </c>
      <c r="M34" s="92" t="str">
        <f>IF(AND('[2]Mapa final'!$Y$63="Media",'[2]Mapa final'!$AA$63="Leve"),CONCATENATE("R9C",'[2]Mapa final'!$O$63),"")</f>
        <v/>
      </c>
      <c r="N34" s="92" t="str">
        <f>IF(AND('[2]Mapa final'!$Y$64="Media",'[2]Mapa final'!$AA$64="Leve"),CONCATENATE("R9C",'[2]Mapa final'!$O$64),"")</f>
        <v/>
      </c>
      <c r="O34" s="93" t="str">
        <f>IF(AND('[2]Mapa final'!$Y$65="Media",'[2]Mapa final'!$AA$65="Leve"),CONCATENATE("R9C",'[2]Mapa final'!$O$65),"")</f>
        <v/>
      </c>
      <c r="P34" s="91" t="str">
        <f>IF(AND('[2]Mapa final'!$Y$60="Media",'[2]Mapa final'!$AA$60="Menor"),CONCATENATE("R9C",'[2]Mapa final'!$O$60),"")</f>
        <v/>
      </c>
      <c r="Q34" s="92" t="str">
        <f>IF(AND('[2]Mapa final'!$Y$61="Media",'[2]Mapa final'!$AA$61="Menor"),CONCATENATE("R9C",'[2]Mapa final'!$O$61),"")</f>
        <v/>
      </c>
      <c r="R34" s="92" t="str">
        <f>IF(AND('[2]Mapa final'!$Y$62="Media",'[2]Mapa final'!$AA$62="Menor"),CONCATENATE("R9C",'[2]Mapa final'!$O$62),"")</f>
        <v/>
      </c>
      <c r="S34" s="92" t="str">
        <f>IF(AND('[2]Mapa final'!$Y$63="Media",'[2]Mapa final'!$AA$63="Menor"),CONCATENATE("R9C",'[2]Mapa final'!$O$63),"")</f>
        <v/>
      </c>
      <c r="T34" s="92" t="str">
        <f>IF(AND('[2]Mapa final'!$Y$64="Media",'[2]Mapa final'!$AA$64="Menor"),CONCATENATE("R9C",'[2]Mapa final'!$O$64),"")</f>
        <v/>
      </c>
      <c r="U34" s="93" t="str">
        <f>IF(AND('[2]Mapa final'!$Y$65="Media",'[2]Mapa final'!$AA$65="Menor"),CONCATENATE("R9C",'[2]Mapa final'!$O$65),"")</f>
        <v/>
      </c>
      <c r="V34" s="91" t="str">
        <f>IF(AND('[2]Mapa final'!$Y$60="Media",'[2]Mapa final'!$AA$60="Moderado"),CONCATENATE("R9C",'[2]Mapa final'!$O$60),"")</f>
        <v/>
      </c>
      <c r="W34" s="92" t="str">
        <f>IF(AND('[2]Mapa final'!$Y$61="Media",'[2]Mapa final'!$AA$61="Moderado"),CONCATENATE("R9C",'[2]Mapa final'!$O$61),"")</f>
        <v/>
      </c>
      <c r="X34" s="92" t="str">
        <f>IF(AND('[2]Mapa final'!$Y$62="Media",'[2]Mapa final'!$AA$62="Moderado"),CONCATENATE("R9C",'[2]Mapa final'!$O$62),"")</f>
        <v/>
      </c>
      <c r="Y34" s="92" t="str">
        <f>IF(AND('[2]Mapa final'!$Y$63="Media",'[2]Mapa final'!$AA$63="Moderado"),CONCATENATE("R9C",'[2]Mapa final'!$O$63),"")</f>
        <v/>
      </c>
      <c r="Z34" s="92" t="str">
        <f>IF(AND('[2]Mapa final'!$Y$64="Media",'[2]Mapa final'!$AA$64="Moderado"),CONCATENATE("R9C",'[2]Mapa final'!$O$64),"")</f>
        <v/>
      </c>
      <c r="AA34" s="93" t="str">
        <f>IF(AND('[2]Mapa final'!$Y$65="Media",'[2]Mapa final'!$AA$65="Moderado"),CONCATENATE("R9C",'[2]Mapa final'!$O$65),"")</f>
        <v/>
      </c>
      <c r="AB34" s="76" t="str">
        <f>IF(AND('[2]Mapa final'!$Y$60="Media",'[2]Mapa final'!$AA$60="Mayor"),CONCATENATE("R9C",'[2]Mapa final'!$O$60),"")</f>
        <v/>
      </c>
      <c r="AC34" s="77" t="str">
        <f>IF(AND('[2]Mapa final'!$Y$61="Media",'[2]Mapa final'!$AA$61="Mayor"),CONCATENATE("R9C",'[2]Mapa final'!$O$61),"")</f>
        <v/>
      </c>
      <c r="AD34" s="77" t="str">
        <f>IF(AND('[2]Mapa final'!$Y$62="Media",'[2]Mapa final'!$AA$62="Mayor"),CONCATENATE("R9C",'[2]Mapa final'!$O$62),"")</f>
        <v/>
      </c>
      <c r="AE34" s="77" t="str">
        <f>IF(AND('[2]Mapa final'!$Y$63="Media",'[2]Mapa final'!$AA$63="Mayor"),CONCATENATE("R9C",'[2]Mapa final'!$O$63),"")</f>
        <v/>
      </c>
      <c r="AF34" s="77" t="str">
        <f>IF(AND('[2]Mapa final'!$Y$64="Media",'[2]Mapa final'!$AA$64="Mayor"),CONCATENATE("R9C",'[2]Mapa final'!$O$64),"")</f>
        <v/>
      </c>
      <c r="AG34" s="78" t="str">
        <f>IF(AND('[2]Mapa final'!$Y$65="Media",'[2]Mapa final'!$AA$65="Mayor"),CONCATENATE("R9C",'[2]Mapa final'!$O$65),"")</f>
        <v/>
      </c>
      <c r="AH34" s="79" t="str">
        <f>IF(AND('[2]Mapa final'!$Y$60="Media",'[2]Mapa final'!$AA$60="Catastrófico"),CONCATENATE("R9C",'[2]Mapa final'!$O$60),"")</f>
        <v/>
      </c>
      <c r="AI34" s="80" t="str">
        <f>IF(AND('[2]Mapa final'!$Y$61="Media",'[2]Mapa final'!$AA$61="Catastrófico"),CONCATENATE("R9C",'[2]Mapa final'!$O$61),"")</f>
        <v/>
      </c>
      <c r="AJ34" s="80" t="str">
        <f>IF(AND('[2]Mapa final'!$Y$62="Media",'[2]Mapa final'!$AA$62="Catastrófico"),CONCATENATE("R9C",'[2]Mapa final'!$O$62),"")</f>
        <v/>
      </c>
      <c r="AK34" s="80" t="str">
        <f>IF(AND('[2]Mapa final'!$Y$63="Media",'[2]Mapa final'!$AA$63="Catastrófico"),CONCATENATE("R9C",'[2]Mapa final'!$O$63),"")</f>
        <v/>
      </c>
      <c r="AL34" s="80" t="str">
        <f>IF(AND('[2]Mapa final'!$Y$64="Media",'[2]Mapa final'!$AA$64="Catastrófico"),CONCATENATE("R9C",'[2]Mapa final'!$O$64),"")</f>
        <v/>
      </c>
      <c r="AM34" s="81" t="str">
        <f>IF(AND('[2]Mapa final'!$Y$65="Media",'[2]Mapa final'!$AA$65="Catastrófico"),CONCATENATE("R9C",'[2]Mapa final'!$O$65),"")</f>
        <v/>
      </c>
      <c r="AN34" s="68"/>
      <c r="AO34" s="430"/>
      <c r="AP34" s="431"/>
      <c r="AQ34" s="431"/>
      <c r="AR34" s="431"/>
      <c r="AS34" s="431"/>
      <c r="AT34" s="432"/>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row>
    <row r="35" spans="1:80" ht="15.75" customHeight="1" thickBot="1">
      <c r="A35" s="68"/>
      <c r="B35" s="406"/>
      <c r="C35" s="406"/>
      <c r="D35" s="407"/>
      <c r="E35" s="399"/>
      <c r="F35" s="400"/>
      <c r="G35" s="400"/>
      <c r="H35" s="400"/>
      <c r="I35" s="401"/>
      <c r="J35" s="91" t="str">
        <f>IF(AND('[2]Mapa final'!$Y$66="Media",'[2]Mapa final'!$AA$66="Leve"),CONCATENATE("R10C",'[2]Mapa final'!$O$66),"")</f>
        <v/>
      </c>
      <c r="K35" s="92" t="str">
        <f>IF(AND('[2]Mapa final'!$Y$67="Media",'[2]Mapa final'!$AA$67="Leve"),CONCATENATE("R10C",'[2]Mapa final'!$O$67),"")</f>
        <v/>
      </c>
      <c r="L35" s="92" t="str">
        <f>IF(AND('[2]Mapa final'!$Y$68="Media",'[2]Mapa final'!$AA$68="Leve"),CONCATENATE("R10C",'[2]Mapa final'!$O$68),"")</f>
        <v/>
      </c>
      <c r="M35" s="92" t="str">
        <f>IF(AND('[2]Mapa final'!$Y$69="Media",'[2]Mapa final'!$AA$69="Leve"),CONCATENATE("R10C",'[2]Mapa final'!$O$69),"")</f>
        <v/>
      </c>
      <c r="N35" s="92" t="str">
        <f>IF(AND('[2]Mapa final'!$Y$70="Media",'[2]Mapa final'!$AA$70="Leve"),CONCATENATE("R10C",'[2]Mapa final'!$O$70),"")</f>
        <v/>
      </c>
      <c r="O35" s="93" t="str">
        <f>IF(AND('[2]Mapa final'!$Y$71="Media",'[2]Mapa final'!$AA$71="Leve"),CONCATENATE("R10C",'[2]Mapa final'!$O$71),"")</f>
        <v/>
      </c>
      <c r="P35" s="91" t="str">
        <f>IF(AND('[2]Mapa final'!$Y$66="Media",'[2]Mapa final'!$AA$66="Menor"),CONCATENATE("R10C",'[2]Mapa final'!$O$66),"")</f>
        <v/>
      </c>
      <c r="Q35" s="92" t="str">
        <f>IF(AND('[2]Mapa final'!$Y$67="Media",'[2]Mapa final'!$AA$67="Menor"),CONCATENATE("R10C",'[2]Mapa final'!$O$67),"")</f>
        <v/>
      </c>
      <c r="R35" s="92" t="str">
        <f>IF(AND('[2]Mapa final'!$Y$68="Media",'[2]Mapa final'!$AA$68="Menor"),CONCATENATE("R10C",'[2]Mapa final'!$O$68),"")</f>
        <v/>
      </c>
      <c r="S35" s="92" t="str">
        <f>IF(AND('[2]Mapa final'!$Y$69="Media",'[2]Mapa final'!$AA$69="Menor"),CONCATENATE("R10C",'[2]Mapa final'!$O$69),"")</f>
        <v/>
      </c>
      <c r="T35" s="92" t="str">
        <f>IF(AND('[2]Mapa final'!$Y$70="Media",'[2]Mapa final'!$AA$70="Menor"),CONCATENATE("R10C",'[2]Mapa final'!$O$70),"")</f>
        <v/>
      </c>
      <c r="U35" s="93" t="str">
        <f>IF(AND('[2]Mapa final'!$Y$71="Media",'[2]Mapa final'!$AA$71="Menor"),CONCATENATE("R10C",'[2]Mapa final'!$O$71),"")</f>
        <v/>
      </c>
      <c r="V35" s="91" t="str">
        <f>IF(AND('[2]Mapa final'!$Y$66="Media",'[2]Mapa final'!$AA$66="Moderado"),CONCATENATE("R10C",'[2]Mapa final'!$O$66),"")</f>
        <v/>
      </c>
      <c r="W35" s="92" t="str">
        <f>IF(AND('[2]Mapa final'!$Y$67="Media",'[2]Mapa final'!$AA$67="Moderado"),CONCATENATE("R10C",'[2]Mapa final'!$O$67),"")</f>
        <v/>
      </c>
      <c r="X35" s="92" t="str">
        <f>IF(AND('[2]Mapa final'!$Y$68="Media",'[2]Mapa final'!$AA$68="Moderado"),CONCATENATE("R10C",'[2]Mapa final'!$O$68),"")</f>
        <v/>
      </c>
      <c r="Y35" s="92" t="str">
        <f>IF(AND('[2]Mapa final'!$Y$69="Media",'[2]Mapa final'!$AA$69="Moderado"),CONCATENATE("R10C",'[2]Mapa final'!$O$69),"")</f>
        <v/>
      </c>
      <c r="Z35" s="92" t="str">
        <f>IF(AND('[2]Mapa final'!$Y$70="Media",'[2]Mapa final'!$AA$70="Moderado"),CONCATENATE("R10C",'[2]Mapa final'!$O$70),"")</f>
        <v/>
      </c>
      <c r="AA35" s="93" t="str">
        <f>IF(AND('[2]Mapa final'!$Y$71="Media",'[2]Mapa final'!$AA$71="Moderado"),CONCATENATE("R10C",'[2]Mapa final'!$O$71),"")</f>
        <v/>
      </c>
      <c r="AB35" s="82" t="str">
        <f>IF(AND('[2]Mapa final'!$Y$66="Media",'[2]Mapa final'!$AA$66="Mayor"),CONCATENATE("R10C",'[2]Mapa final'!$O$66),"")</f>
        <v/>
      </c>
      <c r="AC35" s="83" t="str">
        <f>IF(AND('[2]Mapa final'!$Y$67="Media",'[2]Mapa final'!$AA$67="Mayor"),CONCATENATE("R10C",'[2]Mapa final'!$O$67),"")</f>
        <v/>
      </c>
      <c r="AD35" s="83" t="str">
        <f>IF(AND('[2]Mapa final'!$Y$68="Media",'[2]Mapa final'!$AA$68="Mayor"),CONCATENATE("R10C",'[2]Mapa final'!$O$68),"")</f>
        <v/>
      </c>
      <c r="AE35" s="83" t="str">
        <f>IF(AND('[2]Mapa final'!$Y$69="Media",'[2]Mapa final'!$AA$69="Mayor"),CONCATENATE("R10C",'[2]Mapa final'!$O$69),"")</f>
        <v/>
      </c>
      <c r="AF35" s="83" t="str">
        <f>IF(AND('[2]Mapa final'!$Y$70="Media",'[2]Mapa final'!$AA$70="Mayor"),CONCATENATE("R10C",'[2]Mapa final'!$O$70),"")</f>
        <v/>
      </c>
      <c r="AG35" s="84" t="str">
        <f>IF(AND('[2]Mapa final'!$Y$71="Media",'[2]Mapa final'!$AA$71="Mayor"),CONCATENATE("R10C",'[2]Mapa final'!$O$71),"")</f>
        <v/>
      </c>
      <c r="AH35" s="85" t="str">
        <f>IF(AND('[2]Mapa final'!$Y$66="Media",'[2]Mapa final'!$AA$66="Catastrófico"),CONCATENATE("R10C",'[2]Mapa final'!$O$66),"")</f>
        <v/>
      </c>
      <c r="AI35" s="86" t="str">
        <f>IF(AND('[2]Mapa final'!$Y$67="Media",'[2]Mapa final'!$AA$67="Catastrófico"),CONCATENATE("R10C",'[2]Mapa final'!$O$67),"")</f>
        <v/>
      </c>
      <c r="AJ35" s="86" t="str">
        <f>IF(AND('[2]Mapa final'!$Y$68="Media",'[2]Mapa final'!$AA$68="Catastrófico"),CONCATENATE("R10C",'[2]Mapa final'!$O$68),"")</f>
        <v/>
      </c>
      <c r="AK35" s="86" t="str">
        <f>IF(AND('[2]Mapa final'!$Y$69="Media",'[2]Mapa final'!$AA$69="Catastrófico"),CONCATENATE("R10C",'[2]Mapa final'!$O$69),"")</f>
        <v/>
      </c>
      <c r="AL35" s="86" t="str">
        <f>IF(AND('[2]Mapa final'!$Y$70="Media",'[2]Mapa final'!$AA$70="Catastrófico"),CONCATENATE("R10C",'[2]Mapa final'!$O$70),"")</f>
        <v/>
      </c>
      <c r="AM35" s="87" t="str">
        <f>IF(AND('[2]Mapa final'!$Y$71="Media",'[2]Mapa final'!$AA$71="Catastrófico"),CONCATENATE("R10C",'[2]Mapa final'!$O$71),"")</f>
        <v/>
      </c>
      <c r="AN35" s="68"/>
      <c r="AO35" s="433"/>
      <c r="AP35" s="434"/>
      <c r="AQ35" s="434"/>
      <c r="AR35" s="434"/>
      <c r="AS35" s="434"/>
      <c r="AT35" s="435"/>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row>
    <row r="36" spans="1:80" ht="15" customHeight="1">
      <c r="A36" s="68"/>
      <c r="B36" s="406"/>
      <c r="C36" s="406"/>
      <c r="D36" s="407"/>
      <c r="E36" s="393" t="s">
        <v>356</v>
      </c>
      <c r="F36" s="394"/>
      <c r="G36" s="394"/>
      <c r="H36" s="394"/>
      <c r="I36" s="394"/>
      <c r="J36" s="97" t="str">
        <f>IF(AND('[2]Mapa final'!$Y$12="Baja",'[2]Mapa final'!$AA$12="Leve"),CONCATENATE("R1C",'[2]Mapa final'!$O$12),"")</f>
        <v>R1C1</v>
      </c>
      <c r="K36" s="98" t="str">
        <f>IF(AND('[2]Mapa final'!$Y$13="Baja",'[2]Mapa final'!$AA$13="Leve"),CONCATENATE("R1C",'[2]Mapa final'!$O$13),"")</f>
        <v/>
      </c>
      <c r="L36" s="98" t="str">
        <f>IF(AND('[2]Mapa final'!$Y$14="Baja",'[2]Mapa final'!$AA$14="Leve"),CONCATENATE("R1C",'[2]Mapa final'!$O$14),"")</f>
        <v/>
      </c>
      <c r="M36" s="98" t="str">
        <f>IF(AND('[2]Mapa final'!$Y$15="Baja",'[2]Mapa final'!$AA$15="Leve"),CONCATENATE("R1C",'[2]Mapa final'!$O$15),"")</f>
        <v/>
      </c>
      <c r="N36" s="98" t="str">
        <f>IF(AND('[2]Mapa final'!$Y$16="Baja",'[2]Mapa final'!$AA$16="Leve"),CONCATENATE("R1C",'[2]Mapa final'!$O$16),"")</f>
        <v/>
      </c>
      <c r="O36" s="99" t="str">
        <f>IF(AND('[2]Mapa final'!$Y$17="Baja",'[2]Mapa final'!$AA$17="Leve"),CONCATENATE("R1C",'[2]Mapa final'!$O$17),"")</f>
        <v/>
      </c>
      <c r="P36" s="88" t="str">
        <f>IF(AND('[2]Mapa final'!$Y$12="Baja",'[2]Mapa final'!$AA$12="Menor"),CONCATENATE("R1C",'[2]Mapa final'!$O$12),"")</f>
        <v/>
      </c>
      <c r="Q36" s="89" t="str">
        <f>IF(AND('[2]Mapa final'!$Y$13="Baja",'[2]Mapa final'!$AA$13="Menor"),CONCATENATE("R1C",'[2]Mapa final'!$O$13),"")</f>
        <v/>
      </c>
      <c r="R36" s="89" t="str">
        <f>IF(AND('[2]Mapa final'!$Y$14="Baja",'[2]Mapa final'!$AA$14="Menor"),CONCATENATE("R1C",'[2]Mapa final'!$O$14),"")</f>
        <v/>
      </c>
      <c r="S36" s="89" t="str">
        <f>IF(AND('[2]Mapa final'!$Y$15="Baja",'[2]Mapa final'!$AA$15="Menor"),CONCATENATE("R1C",'[2]Mapa final'!$O$15),"")</f>
        <v/>
      </c>
      <c r="T36" s="89" t="str">
        <f>IF(AND('[2]Mapa final'!$Y$16="Baja",'[2]Mapa final'!$AA$16="Menor"),CONCATENATE("R1C",'[2]Mapa final'!$O$16),"")</f>
        <v/>
      </c>
      <c r="U36" s="90" t="str">
        <f>IF(AND('[2]Mapa final'!$Y$17="Baja",'[2]Mapa final'!$AA$17="Menor"),CONCATENATE("R1C",'[2]Mapa final'!$O$17),"")</f>
        <v/>
      </c>
      <c r="V36" s="88" t="str">
        <f>IF(AND('[2]Mapa final'!$Y$12="Baja",'[2]Mapa final'!$AA$12="Moderado"),CONCATENATE("R1C",'[2]Mapa final'!$O$12),"")</f>
        <v/>
      </c>
      <c r="W36" s="89" t="str">
        <f>IF(AND('[2]Mapa final'!$Y$13="Baja",'[2]Mapa final'!$AA$13="Moderado"),CONCATENATE("R1C",'[2]Mapa final'!$O$13),"")</f>
        <v/>
      </c>
      <c r="X36" s="89" t="str">
        <f>IF(AND('[2]Mapa final'!$Y$14="Baja",'[2]Mapa final'!$AA$14="Moderado"),CONCATENATE("R1C",'[2]Mapa final'!$O$14),"")</f>
        <v/>
      </c>
      <c r="Y36" s="89" t="str">
        <f>IF(AND('[2]Mapa final'!$Y$15="Baja",'[2]Mapa final'!$AA$15="Moderado"),CONCATENATE("R1C",'[2]Mapa final'!$O$15),"")</f>
        <v/>
      </c>
      <c r="Z36" s="89" t="str">
        <f>IF(AND('[2]Mapa final'!$Y$16="Baja",'[2]Mapa final'!$AA$16="Moderado"),CONCATENATE("R1C",'[2]Mapa final'!$O$16),"")</f>
        <v/>
      </c>
      <c r="AA36" s="90" t="str">
        <f>IF(AND('[2]Mapa final'!$Y$17="Baja",'[2]Mapa final'!$AA$17="Moderado"),CONCATENATE("R1C",'[2]Mapa final'!$O$17),"")</f>
        <v/>
      </c>
      <c r="AB36" s="70" t="str">
        <f>IF(AND('[2]Mapa final'!$Y$12="Baja",'[2]Mapa final'!$AA$12="Mayor"),CONCATENATE("R1C",'[2]Mapa final'!$O$12),"")</f>
        <v/>
      </c>
      <c r="AC36" s="71" t="str">
        <f>IF(AND('[2]Mapa final'!$Y$13="Baja",'[2]Mapa final'!$AA$13="Mayor"),CONCATENATE("R1C",'[2]Mapa final'!$O$13),"")</f>
        <v/>
      </c>
      <c r="AD36" s="71" t="str">
        <f>IF(AND('[2]Mapa final'!$Y$14="Baja",'[2]Mapa final'!$AA$14="Mayor"),CONCATENATE("R1C",'[2]Mapa final'!$O$14),"")</f>
        <v/>
      </c>
      <c r="AE36" s="71" t="str">
        <f>IF(AND('[2]Mapa final'!$Y$15="Baja",'[2]Mapa final'!$AA$15="Mayor"),CONCATENATE("R1C",'[2]Mapa final'!$O$15),"")</f>
        <v/>
      </c>
      <c r="AF36" s="71" t="str">
        <f>IF(AND('[2]Mapa final'!$Y$16="Baja",'[2]Mapa final'!$AA$16="Mayor"),CONCATENATE("R1C",'[2]Mapa final'!$O$16),"")</f>
        <v/>
      </c>
      <c r="AG36" s="72" t="str">
        <f>IF(AND('[2]Mapa final'!$Y$17="Baja",'[2]Mapa final'!$AA$17="Mayor"),CONCATENATE("R1C",'[2]Mapa final'!$O$17),"")</f>
        <v/>
      </c>
      <c r="AH36" s="73" t="str">
        <f>IF(AND('[2]Mapa final'!$Y$12="Baja",'[2]Mapa final'!$AA$12="Catastrófico"),CONCATENATE("R1C",'[2]Mapa final'!$O$12),"")</f>
        <v/>
      </c>
      <c r="AI36" s="74" t="str">
        <f>IF(AND('[2]Mapa final'!$Y$13="Baja",'[2]Mapa final'!$AA$13="Catastrófico"),CONCATENATE("R1C",'[2]Mapa final'!$O$13),"")</f>
        <v/>
      </c>
      <c r="AJ36" s="74" t="str">
        <f>IF(AND('[2]Mapa final'!$Y$14="Baja",'[2]Mapa final'!$AA$14="Catastrófico"),CONCATENATE("R1C",'[2]Mapa final'!$O$14),"")</f>
        <v/>
      </c>
      <c r="AK36" s="74" t="str">
        <f>IF(AND('[2]Mapa final'!$Y$15="Baja",'[2]Mapa final'!$AA$15="Catastrófico"),CONCATENATE("R1C",'[2]Mapa final'!$O$15),"")</f>
        <v/>
      </c>
      <c r="AL36" s="74" t="str">
        <f>IF(AND('[2]Mapa final'!$Y$16="Baja",'[2]Mapa final'!$AA$16="Catastrófico"),CONCATENATE("R1C",'[2]Mapa final'!$O$16),"")</f>
        <v/>
      </c>
      <c r="AM36" s="75" t="str">
        <f>IF(AND('[2]Mapa final'!$Y$17="Baja",'[2]Mapa final'!$AA$17="Catastrófico"),CONCATENATE("R1C",'[2]Mapa final'!$O$17),"")</f>
        <v/>
      </c>
      <c r="AN36" s="68"/>
      <c r="AO36" s="436" t="s">
        <v>357</v>
      </c>
      <c r="AP36" s="437"/>
      <c r="AQ36" s="437"/>
      <c r="AR36" s="437"/>
      <c r="AS36" s="437"/>
      <c r="AT36" s="43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row>
    <row r="37" spans="1:80" ht="15" customHeight="1">
      <c r="A37" s="68"/>
      <c r="B37" s="406"/>
      <c r="C37" s="406"/>
      <c r="D37" s="407"/>
      <c r="E37" s="417"/>
      <c r="F37" s="397"/>
      <c r="G37" s="397"/>
      <c r="H37" s="397"/>
      <c r="I37" s="397"/>
      <c r="J37" s="100" t="str">
        <f>IF(AND('[2]Mapa final'!$Y$18="Baja",'[2]Mapa final'!$AA$18="Leve"),CONCATENATE("R2C",'[2]Mapa final'!$O$18),"")</f>
        <v/>
      </c>
      <c r="K37" s="101" t="str">
        <f>IF(AND('[2]Mapa final'!$Y$19="Baja",'[2]Mapa final'!$AA$19="Leve"),CONCATENATE("R2C",'[2]Mapa final'!$O$19),"")</f>
        <v/>
      </c>
      <c r="L37" s="101" t="str">
        <f>IF(AND('[2]Mapa final'!$Y$20="Baja",'[2]Mapa final'!$AA$20="Leve"),CONCATENATE("R2C",'[2]Mapa final'!$O$20),"")</f>
        <v/>
      </c>
      <c r="M37" s="101" t="str">
        <f>IF(AND('[2]Mapa final'!$Y$21="Baja",'[2]Mapa final'!$AA$21="Leve"),CONCATENATE("R2C",'[2]Mapa final'!$O$21),"")</f>
        <v/>
      </c>
      <c r="N37" s="101" t="str">
        <f>IF(AND('[2]Mapa final'!$Y$22="Baja",'[2]Mapa final'!$AA$22="Leve"),CONCATENATE("R2C",'[2]Mapa final'!$O$22),"")</f>
        <v/>
      </c>
      <c r="O37" s="102" t="str">
        <f>IF(AND('[2]Mapa final'!$Y$23="Baja",'[2]Mapa final'!$AA$23="Leve"),CONCATENATE("R2C",'[2]Mapa final'!$O$23),"")</f>
        <v/>
      </c>
      <c r="P37" s="91" t="str">
        <f>IF(AND('[2]Mapa final'!$Y$18="Baja",'[2]Mapa final'!$AA$18="Menor"),CONCATENATE("R2C",'[2]Mapa final'!$O$18),"")</f>
        <v>R2C1</v>
      </c>
      <c r="Q37" s="92" t="str">
        <f>IF(AND('[2]Mapa final'!$Y$19="Baja",'[2]Mapa final'!$AA$19="Menor"),CONCATENATE("R2C",'[2]Mapa final'!$O$19),"")</f>
        <v/>
      </c>
      <c r="R37" s="92" t="str">
        <f>IF(AND('[2]Mapa final'!$Y$20="Baja",'[2]Mapa final'!$AA$20="Menor"),CONCATENATE("R2C",'[2]Mapa final'!$O$20),"")</f>
        <v/>
      </c>
      <c r="S37" s="92" t="str">
        <f>IF(AND('[2]Mapa final'!$Y$21="Baja",'[2]Mapa final'!$AA$21="Menor"),CONCATENATE("R2C",'[2]Mapa final'!$O$21),"")</f>
        <v/>
      </c>
      <c r="T37" s="92" t="str">
        <f>IF(AND('[2]Mapa final'!$Y$22="Baja",'[2]Mapa final'!$AA$22="Menor"),CONCATENATE("R2C",'[2]Mapa final'!$O$22),"")</f>
        <v/>
      </c>
      <c r="U37" s="93" t="str">
        <f>IF(AND('[2]Mapa final'!$Y$23="Baja",'[2]Mapa final'!$AA$23="Menor"),CONCATENATE("R2C",'[2]Mapa final'!$O$23),"")</f>
        <v/>
      </c>
      <c r="V37" s="91" t="str">
        <f>IF(AND('[2]Mapa final'!$Y$18="Baja",'[2]Mapa final'!$AA$18="Moderado"),CONCATENATE("R2C",'[2]Mapa final'!$O$18),"")</f>
        <v/>
      </c>
      <c r="W37" s="92" t="str">
        <f>IF(AND('[2]Mapa final'!$Y$19="Baja",'[2]Mapa final'!$AA$19="Moderado"),CONCATENATE("R2C",'[2]Mapa final'!$O$19),"")</f>
        <v/>
      </c>
      <c r="X37" s="92" t="str">
        <f>IF(AND('[2]Mapa final'!$Y$20="Baja",'[2]Mapa final'!$AA$20="Moderado"),CONCATENATE("R2C",'[2]Mapa final'!$O$20),"")</f>
        <v/>
      </c>
      <c r="Y37" s="92" t="str">
        <f>IF(AND('[2]Mapa final'!$Y$21="Baja",'[2]Mapa final'!$AA$21="Moderado"),CONCATENATE("R2C",'[2]Mapa final'!$O$21),"")</f>
        <v/>
      </c>
      <c r="Z37" s="92" t="str">
        <f>IF(AND('[2]Mapa final'!$Y$22="Baja",'[2]Mapa final'!$AA$22="Moderado"),CONCATENATE("R2C",'[2]Mapa final'!$O$22),"")</f>
        <v/>
      </c>
      <c r="AA37" s="93" t="str">
        <f>IF(AND('[2]Mapa final'!$Y$23="Baja",'[2]Mapa final'!$AA$23="Moderado"),CONCATENATE("R2C",'[2]Mapa final'!$O$23),"")</f>
        <v/>
      </c>
      <c r="AB37" s="76" t="str">
        <f>IF(AND('[2]Mapa final'!$Y$18="Baja",'[2]Mapa final'!$AA$18="Mayor"),CONCATENATE("R2C",'[2]Mapa final'!$O$18),"")</f>
        <v/>
      </c>
      <c r="AC37" s="77" t="str">
        <f>IF(AND('[2]Mapa final'!$Y$19="Baja",'[2]Mapa final'!$AA$19="Mayor"),CONCATENATE("R2C",'[2]Mapa final'!$O$19),"")</f>
        <v/>
      </c>
      <c r="AD37" s="77" t="str">
        <f>IF(AND('[2]Mapa final'!$Y$20="Baja",'[2]Mapa final'!$AA$20="Mayor"),CONCATENATE("R2C",'[2]Mapa final'!$O$20),"")</f>
        <v/>
      </c>
      <c r="AE37" s="77" t="str">
        <f>IF(AND('[2]Mapa final'!$Y$21="Baja",'[2]Mapa final'!$AA$21="Mayor"),CONCATENATE("R2C",'[2]Mapa final'!$O$21),"")</f>
        <v/>
      </c>
      <c r="AF37" s="77" t="str">
        <f>IF(AND('[2]Mapa final'!$Y$22="Baja",'[2]Mapa final'!$AA$22="Mayor"),CONCATENATE("R2C",'[2]Mapa final'!$O$22),"")</f>
        <v/>
      </c>
      <c r="AG37" s="78" t="str">
        <f>IF(AND('[2]Mapa final'!$Y$23="Baja",'[2]Mapa final'!$AA$23="Mayor"),CONCATENATE("R2C",'[2]Mapa final'!$O$23),"")</f>
        <v/>
      </c>
      <c r="AH37" s="79" t="str">
        <f>IF(AND('[2]Mapa final'!$Y$18="Baja",'[2]Mapa final'!$AA$18="Catastrófico"),CONCATENATE("R2C",'[2]Mapa final'!$O$18),"")</f>
        <v/>
      </c>
      <c r="AI37" s="80" t="str">
        <f>IF(AND('[2]Mapa final'!$Y$19="Baja",'[2]Mapa final'!$AA$19="Catastrófico"),CONCATENATE("R2C",'[2]Mapa final'!$O$19),"")</f>
        <v/>
      </c>
      <c r="AJ37" s="80" t="str">
        <f>IF(AND('[2]Mapa final'!$Y$20="Baja",'[2]Mapa final'!$AA$20="Catastrófico"),CONCATENATE("R2C",'[2]Mapa final'!$O$20),"")</f>
        <v/>
      </c>
      <c r="AK37" s="80" t="str">
        <f>IF(AND('[2]Mapa final'!$Y$21="Baja",'[2]Mapa final'!$AA$21="Catastrófico"),CONCATENATE("R2C",'[2]Mapa final'!$O$21),"")</f>
        <v/>
      </c>
      <c r="AL37" s="80" t="str">
        <f>IF(AND('[2]Mapa final'!$Y$22="Baja",'[2]Mapa final'!$AA$22="Catastrófico"),CONCATENATE("R2C",'[2]Mapa final'!$O$22),"")</f>
        <v/>
      </c>
      <c r="AM37" s="81" t="str">
        <f>IF(AND('[2]Mapa final'!$Y$23="Baja",'[2]Mapa final'!$AA$23="Catastrófico"),CONCATENATE("R2C",'[2]Mapa final'!$O$23),"")</f>
        <v/>
      </c>
      <c r="AN37" s="68"/>
      <c r="AO37" s="439"/>
      <c r="AP37" s="440"/>
      <c r="AQ37" s="440"/>
      <c r="AR37" s="440"/>
      <c r="AS37" s="440"/>
      <c r="AT37" s="441"/>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row>
    <row r="38" spans="1:80" ht="15" customHeight="1">
      <c r="A38" s="68"/>
      <c r="B38" s="406"/>
      <c r="C38" s="406"/>
      <c r="D38" s="407"/>
      <c r="E38" s="396"/>
      <c r="F38" s="397"/>
      <c r="G38" s="397"/>
      <c r="H38" s="397"/>
      <c r="I38" s="397"/>
      <c r="J38" s="100" t="str">
        <f>IF(AND('[2]Mapa final'!$Y$24="Baja",'[2]Mapa final'!$AA$24="Leve"),CONCATENATE("R3C",'[2]Mapa final'!$O$24),"")</f>
        <v/>
      </c>
      <c r="K38" s="101" t="str">
        <f>IF(AND('[2]Mapa final'!$Y$25="Baja",'[2]Mapa final'!$AA$25="Leve"),CONCATENATE("R3C",'[2]Mapa final'!$O$25),"")</f>
        <v/>
      </c>
      <c r="L38" s="101" t="str">
        <f>IF(AND('[2]Mapa final'!$Y$26="Baja",'[2]Mapa final'!$AA$26="Leve"),CONCATENATE("R3C",'[2]Mapa final'!$O$26),"")</f>
        <v/>
      </c>
      <c r="M38" s="101" t="str">
        <f>IF(AND('[2]Mapa final'!$Y$27="Baja",'[2]Mapa final'!$AA$27="Leve"),CONCATENATE("R3C",'[2]Mapa final'!$O$27),"")</f>
        <v/>
      </c>
      <c r="N38" s="101" t="str">
        <f>IF(AND('[2]Mapa final'!$Y$28="Baja",'[2]Mapa final'!$AA$28="Leve"),CONCATENATE("R3C",'[2]Mapa final'!$O$28),"")</f>
        <v/>
      </c>
      <c r="O38" s="102" t="str">
        <f>IF(AND('[2]Mapa final'!$Y$29="Baja",'[2]Mapa final'!$AA$29="Leve"),CONCATENATE("R3C",'[2]Mapa final'!$O$29),"")</f>
        <v/>
      </c>
      <c r="P38" s="91" t="str">
        <f>IF(AND('[2]Mapa final'!$Y$24="Baja",'[2]Mapa final'!$AA$24="Menor"),CONCATENATE("R3C",'[2]Mapa final'!$O$24),"")</f>
        <v/>
      </c>
      <c r="Q38" s="92" t="str">
        <f>IF(AND('[2]Mapa final'!$Y$25="Baja",'[2]Mapa final'!$AA$25="Menor"),CONCATENATE("R3C",'[2]Mapa final'!$O$25),"")</f>
        <v/>
      </c>
      <c r="R38" s="92" t="str">
        <f>IF(AND('[2]Mapa final'!$Y$26="Baja",'[2]Mapa final'!$AA$26="Menor"),CONCATENATE("R3C",'[2]Mapa final'!$O$26),"")</f>
        <v/>
      </c>
      <c r="S38" s="92" t="str">
        <f>IF(AND('[2]Mapa final'!$Y$27="Baja",'[2]Mapa final'!$AA$27="Menor"),CONCATENATE("R3C",'[2]Mapa final'!$O$27),"")</f>
        <v/>
      </c>
      <c r="T38" s="92" t="str">
        <f>IF(AND('[2]Mapa final'!$Y$28="Baja",'[2]Mapa final'!$AA$28="Menor"),CONCATENATE("R3C",'[2]Mapa final'!$O$28),"")</f>
        <v/>
      </c>
      <c r="U38" s="93" t="str">
        <f>IF(AND('[2]Mapa final'!$Y$29="Baja",'[2]Mapa final'!$AA$29="Menor"),CONCATENATE("R3C",'[2]Mapa final'!$O$29),"")</f>
        <v/>
      </c>
      <c r="V38" s="91" t="str">
        <f>IF(AND('[2]Mapa final'!$Y$24="Baja",'[2]Mapa final'!$AA$24="Moderado"),CONCATENATE("R3C",'[2]Mapa final'!$O$24),"")</f>
        <v/>
      </c>
      <c r="W38" s="92" t="str">
        <f>IF(AND('[2]Mapa final'!$Y$25="Baja",'[2]Mapa final'!$AA$25="Moderado"),CONCATENATE("R3C",'[2]Mapa final'!$O$25),"")</f>
        <v/>
      </c>
      <c r="X38" s="92" t="str">
        <f>IF(AND('[2]Mapa final'!$Y$26="Baja",'[2]Mapa final'!$AA$26="Moderado"),CONCATENATE("R3C",'[2]Mapa final'!$O$26),"")</f>
        <v/>
      </c>
      <c r="Y38" s="92" t="str">
        <f>IF(AND('[2]Mapa final'!$Y$27="Baja",'[2]Mapa final'!$AA$27="Moderado"),CONCATENATE("R3C",'[2]Mapa final'!$O$27),"")</f>
        <v/>
      </c>
      <c r="Z38" s="92" t="str">
        <f>IF(AND('[2]Mapa final'!$Y$28="Baja",'[2]Mapa final'!$AA$28="Moderado"),CONCATENATE("R3C",'[2]Mapa final'!$O$28),"")</f>
        <v/>
      </c>
      <c r="AA38" s="93" t="str">
        <f>IF(AND('[2]Mapa final'!$Y$29="Baja",'[2]Mapa final'!$AA$29="Moderado"),CONCATENATE("R3C",'[2]Mapa final'!$O$29),"")</f>
        <v/>
      </c>
      <c r="AB38" s="76" t="str">
        <f>IF(AND('[2]Mapa final'!$Y$24="Baja",'[2]Mapa final'!$AA$24="Mayor"),CONCATENATE("R3C",'[2]Mapa final'!$O$24),"")</f>
        <v/>
      </c>
      <c r="AC38" s="77" t="str">
        <f>IF(AND('[2]Mapa final'!$Y$25="Baja",'[2]Mapa final'!$AA$25="Mayor"),CONCATENATE("R3C",'[2]Mapa final'!$O$25),"")</f>
        <v/>
      </c>
      <c r="AD38" s="77" t="str">
        <f>IF(AND('[2]Mapa final'!$Y$26="Baja",'[2]Mapa final'!$AA$26="Mayor"),CONCATENATE("R3C",'[2]Mapa final'!$O$26),"")</f>
        <v/>
      </c>
      <c r="AE38" s="77" t="str">
        <f>IF(AND('[2]Mapa final'!$Y$27="Baja",'[2]Mapa final'!$AA$27="Mayor"),CONCATENATE("R3C",'[2]Mapa final'!$O$27),"")</f>
        <v/>
      </c>
      <c r="AF38" s="77" t="str">
        <f>IF(AND('[2]Mapa final'!$Y$28="Baja",'[2]Mapa final'!$AA$28="Mayor"),CONCATENATE("R3C",'[2]Mapa final'!$O$28),"")</f>
        <v/>
      </c>
      <c r="AG38" s="78" t="str">
        <f>IF(AND('[2]Mapa final'!$Y$29="Baja",'[2]Mapa final'!$AA$29="Mayor"),CONCATENATE("R3C",'[2]Mapa final'!$O$29),"")</f>
        <v/>
      </c>
      <c r="AH38" s="79" t="str">
        <f>IF(AND('[2]Mapa final'!$Y$24="Baja",'[2]Mapa final'!$AA$24="Catastrófico"),CONCATENATE("R3C",'[2]Mapa final'!$O$24),"")</f>
        <v/>
      </c>
      <c r="AI38" s="80" t="str">
        <f>IF(AND('[2]Mapa final'!$Y$25="Baja",'[2]Mapa final'!$AA$25="Catastrófico"),CONCATENATE("R3C",'[2]Mapa final'!$O$25),"")</f>
        <v/>
      </c>
      <c r="AJ38" s="80" t="str">
        <f>IF(AND('[2]Mapa final'!$Y$26="Baja",'[2]Mapa final'!$AA$26="Catastrófico"),CONCATENATE("R3C",'[2]Mapa final'!$O$26),"")</f>
        <v/>
      </c>
      <c r="AK38" s="80" t="str">
        <f>IF(AND('[2]Mapa final'!$Y$27="Baja",'[2]Mapa final'!$AA$27="Catastrófico"),CONCATENATE("R3C",'[2]Mapa final'!$O$27),"")</f>
        <v/>
      </c>
      <c r="AL38" s="80" t="str">
        <f>IF(AND('[2]Mapa final'!$Y$28="Baja",'[2]Mapa final'!$AA$28="Catastrófico"),CONCATENATE("R3C",'[2]Mapa final'!$O$28),"")</f>
        <v/>
      </c>
      <c r="AM38" s="81" t="str">
        <f>IF(AND('[2]Mapa final'!$Y$29="Baja",'[2]Mapa final'!$AA$29="Catastrófico"),CONCATENATE("R3C",'[2]Mapa final'!$O$29),"")</f>
        <v/>
      </c>
      <c r="AN38" s="68"/>
      <c r="AO38" s="439"/>
      <c r="AP38" s="440"/>
      <c r="AQ38" s="440"/>
      <c r="AR38" s="440"/>
      <c r="AS38" s="440"/>
      <c r="AT38" s="441"/>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row>
    <row r="39" spans="1:80" ht="15" customHeight="1">
      <c r="A39" s="68"/>
      <c r="B39" s="406"/>
      <c r="C39" s="406"/>
      <c r="D39" s="407"/>
      <c r="E39" s="396"/>
      <c r="F39" s="397"/>
      <c r="G39" s="397"/>
      <c r="H39" s="397"/>
      <c r="I39" s="397"/>
      <c r="J39" s="100" t="e">
        <f>IF(AND('[2]Mapa final'!$Y$30="Baja",'[2]Mapa final'!$AA$30="Leve"),CONCATENATE("R4C",'[2]Mapa final'!$O$30),"")</f>
        <v>#REF!</v>
      </c>
      <c r="K39" s="101" t="str">
        <f>IF(AND('[2]Mapa final'!$Y$31="Baja",'[2]Mapa final'!$AA$31="Leve"),CONCATENATE("R4C",'[2]Mapa final'!$O$31),"")</f>
        <v/>
      </c>
      <c r="L39" s="101" t="str">
        <f>IF(AND('[2]Mapa final'!$Y$32="Baja",'[2]Mapa final'!$AA$32="Leve"),CONCATENATE("R4C",'[2]Mapa final'!$O$32),"")</f>
        <v/>
      </c>
      <c r="M39" s="101" t="str">
        <f>IF(AND('[2]Mapa final'!$Y$33="Baja",'[2]Mapa final'!$AA$33="Leve"),CONCATENATE("R4C",'[2]Mapa final'!$O$33),"")</f>
        <v/>
      </c>
      <c r="N39" s="101" t="str">
        <f>IF(AND('[2]Mapa final'!$Y$34="Baja",'[2]Mapa final'!$AA$34="Leve"),CONCATENATE("R4C",'[2]Mapa final'!$O$34),"")</f>
        <v/>
      </c>
      <c r="O39" s="102" t="str">
        <f>IF(AND('[2]Mapa final'!$Y$35="Baja",'[2]Mapa final'!$AA$35="Leve"),CONCATENATE("R4C",'[2]Mapa final'!$O$35),"")</f>
        <v/>
      </c>
      <c r="P39" s="91" t="e">
        <f>IF(AND('[2]Mapa final'!$Y$30="Baja",'[2]Mapa final'!$AA$30="Menor"),CONCATENATE("R4C",'[2]Mapa final'!$O$30),"")</f>
        <v>#REF!</v>
      </c>
      <c r="Q39" s="92" t="str">
        <f>IF(AND('[2]Mapa final'!$Y$31="Baja",'[2]Mapa final'!$AA$31="Menor"),CONCATENATE("R4C",'[2]Mapa final'!$O$31),"")</f>
        <v/>
      </c>
      <c r="R39" s="92" t="str">
        <f>IF(AND('[2]Mapa final'!$Y$32="Baja",'[2]Mapa final'!$AA$32="Menor"),CONCATENATE("R4C",'[2]Mapa final'!$O$32),"")</f>
        <v/>
      </c>
      <c r="S39" s="92" t="str">
        <f>IF(AND('[2]Mapa final'!$Y$33="Baja",'[2]Mapa final'!$AA$33="Menor"),CONCATENATE("R4C",'[2]Mapa final'!$O$33),"")</f>
        <v/>
      </c>
      <c r="T39" s="92" t="str">
        <f>IF(AND('[2]Mapa final'!$Y$34="Baja",'[2]Mapa final'!$AA$34="Menor"),CONCATENATE("R4C",'[2]Mapa final'!$O$34),"")</f>
        <v/>
      </c>
      <c r="U39" s="93" t="str">
        <f>IF(AND('[2]Mapa final'!$Y$35="Baja",'[2]Mapa final'!$AA$35="Menor"),CONCATENATE("R4C",'[2]Mapa final'!$O$35),"")</f>
        <v/>
      </c>
      <c r="V39" s="91" t="e">
        <f>IF(AND('[2]Mapa final'!$Y$30="Baja",'[2]Mapa final'!$AA$30="Moderado"),CONCATENATE("R4C",'[2]Mapa final'!$O$30),"")</f>
        <v>#REF!</v>
      </c>
      <c r="W39" s="92" t="str">
        <f>IF(AND('[2]Mapa final'!$Y$31="Baja",'[2]Mapa final'!$AA$31="Moderado"),CONCATENATE("R4C",'[2]Mapa final'!$O$31),"")</f>
        <v/>
      </c>
      <c r="X39" s="92" t="str">
        <f>IF(AND('[2]Mapa final'!$Y$32="Baja",'[2]Mapa final'!$AA$32="Moderado"),CONCATENATE("R4C",'[2]Mapa final'!$O$32),"")</f>
        <v/>
      </c>
      <c r="Y39" s="92" t="str">
        <f>IF(AND('[2]Mapa final'!$Y$33="Baja",'[2]Mapa final'!$AA$33="Moderado"),CONCATENATE("R4C",'[2]Mapa final'!$O$33),"")</f>
        <v/>
      </c>
      <c r="Z39" s="92" t="str">
        <f>IF(AND('[2]Mapa final'!$Y$34="Baja",'[2]Mapa final'!$AA$34="Moderado"),CONCATENATE("R4C",'[2]Mapa final'!$O$34),"")</f>
        <v/>
      </c>
      <c r="AA39" s="93" t="str">
        <f>IF(AND('[2]Mapa final'!$Y$35="Baja",'[2]Mapa final'!$AA$35="Moderado"),CONCATENATE("R4C",'[2]Mapa final'!$O$35),"")</f>
        <v/>
      </c>
      <c r="AB39" s="76" t="e">
        <f>IF(AND('[2]Mapa final'!$Y$30="Baja",'[2]Mapa final'!$AA$30="Mayor"),CONCATENATE("R4C",'[2]Mapa final'!$O$30),"")</f>
        <v>#REF!</v>
      </c>
      <c r="AC39" s="77" t="str">
        <f>IF(AND('[2]Mapa final'!$Y$31="Baja",'[2]Mapa final'!$AA$31="Mayor"),CONCATENATE("R4C",'[2]Mapa final'!$O$31),"")</f>
        <v/>
      </c>
      <c r="AD39" s="77" t="str">
        <f>IF(AND('[2]Mapa final'!$Y$32="Baja",'[2]Mapa final'!$AA$32="Mayor"),CONCATENATE("R4C",'[2]Mapa final'!$O$32),"")</f>
        <v/>
      </c>
      <c r="AE39" s="77" t="str">
        <f>IF(AND('[2]Mapa final'!$Y$33="Baja",'[2]Mapa final'!$AA$33="Mayor"),CONCATENATE("R4C",'[2]Mapa final'!$O$33),"")</f>
        <v/>
      </c>
      <c r="AF39" s="77" t="str">
        <f>IF(AND('[2]Mapa final'!$Y$34="Baja",'[2]Mapa final'!$AA$34="Mayor"),CONCATENATE("R4C",'[2]Mapa final'!$O$34),"")</f>
        <v/>
      </c>
      <c r="AG39" s="78" t="str">
        <f>IF(AND('[2]Mapa final'!$Y$35="Baja",'[2]Mapa final'!$AA$35="Mayor"),CONCATENATE("R4C",'[2]Mapa final'!$O$35),"")</f>
        <v/>
      </c>
      <c r="AH39" s="79" t="e">
        <f>IF(AND('[2]Mapa final'!$Y$30="Baja",'[2]Mapa final'!$AA$30="Catastrófico"),CONCATENATE("R4C",'[2]Mapa final'!$O$30),"")</f>
        <v>#REF!</v>
      </c>
      <c r="AI39" s="80" t="str">
        <f>IF(AND('[2]Mapa final'!$Y$31="Baja",'[2]Mapa final'!$AA$31="Catastrófico"),CONCATENATE("R4C",'[2]Mapa final'!$O$31),"")</f>
        <v/>
      </c>
      <c r="AJ39" s="80" t="str">
        <f>IF(AND('[2]Mapa final'!$Y$32="Baja",'[2]Mapa final'!$AA$32="Catastrófico"),CONCATENATE("R4C",'[2]Mapa final'!$O$32),"")</f>
        <v/>
      </c>
      <c r="AK39" s="80" t="str">
        <f>IF(AND('[2]Mapa final'!$Y$33="Baja",'[2]Mapa final'!$AA$33="Catastrófico"),CONCATENATE("R4C",'[2]Mapa final'!$O$33),"")</f>
        <v/>
      </c>
      <c r="AL39" s="80" t="str">
        <f>IF(AND('[2]Mapa final'!$Y$34="Baja",'[2]Mapa final'!$AA$34="Catastrófico"),CONCATENATE("R4C",'[2]Mapa final'!$O$34),"")</f>
        <v/>
      </c>
      <c r="AM39" s="81" t="str">
        <f>IF(AND('[2]Mapa final'!$Y$35="Baja",'[2]Mapa final'!$AA$35="Catastrófico"),CONCATENATE("R4C",'[2]Mapa final'!$O$35),"")</f>
        <v/>
      </c>
      <c r="AN39" s="68"/>
      <c r="AO39" s="439"/>
      <c r="AP39" s="440"/>
      <c r="AQ39" s="440"/>
      <c r="AR39" s="440"/>
      <c r="AS39" s="440"/>
      <c r="AT39" s="441"/>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row>
    <row r="40" spans="1:80" ht="15" customHeight="1">
      <c r="A40" s="68"/>
      <c r="B40" s="406"/>
      <c r="C40" s="406"/>
      <c r="D40" s="407"/>
      <c r="E40" s="396"/>
      <c r="F40" s="397"/>
      <c r="G40" s="397"/>
      <c r="H40" s="397"/>
      <c r="I40" s="397"/>
      <c r="J40" s="100" t="str">
        <f>IF(AND('[2]Mapa final'!$Y$36="Baja",'[2]Mapa final'!$AA$36="Leve"),CONCATENATE("R5C",'[2]Mapa final'!$O$36),"")</f>
        <v>R5C1</v>
      </c>
      <c r="K40" s="101" t="str">
        <f>IF(AND('[2]Mapa final'!$Y$37="Baja",'[2]Mapa final'!$AA$37="Leve"),CONCATENATE("R5C",'[2]Mapa final'!$O$37),"")</f>
        <v/>
      </c>
      <c r="L40" s="101" t="str">
        <f>IF(AND('[2]Mapa final'!$Y$38="Baja",'[2]Mapa final'!$AA$38="Leve"),CONCATENATE("R5C",'[2]Mapa final'!$O$38),"")</f>
        <v/>
      </c>
      <c r="M40" s="101" t="str">
        <f>IF(AND('[2]Mapa final'!$Y$39="Baja",'[2]Mapa final'!$AA$39="Leve"),CONCATENATE("R5C",'[2]Mapa final'!$O$39),"")</f>
        <v/>
      </c>
      <c r="N40" s="101" t="str">
        <f>IF(AND('[2]Mapa final'!$Y$40="Baja",'[2]Mapa final'!$AA$40="Leve"),CONCATENATE("R5C",'[2]Mapa final'!$O$40),"")</f>
        <v/>
      </c>
      <c r="O40" s="102" t="str">
        <f>IF(AND('[2]Mapa final'!$Y$41="Baja",'[2]Mapa final'!$AA$41="Leve"),CONCATENATE("R5C",'[2]Mapa final'!$O$41),"")</f>
        <v/>
      </c>
      <c r="P40" s="91" t="str">
        <f>IF(AND('[2]Mapa final'!$Y$36="Baja",'[2]Mapa final'!$AA$36="Menor"),CONCATENATE("R5C",'[2]Mapa final'!$O$36),"")</f>
        <v/>
      </c>
      <c r="Q40" s="92" t="str">
        <f>IF(AND('[2]Mapa final'!$Y$37="Baja",'[2]Mapa final'!$AA$37="Menor"),CONCATENATE("R5C",'[2]Mapa final'!$O$37),"")</f>
        <v/>
      </c>
      <c r="R40" s="92" t="str">
        <f>IF(AND('[2]Mapa final'!$Y$38="Baja",'[2]Mapa final'!$AA$38="Menor"),CONCATENATE("R5C",'[2]Mapa final'!$O$38),"")</f>
        <v/>
      </c>
      <c r="S40" s="92" t="str">
        <f>IF(AND('[2]Mapa final'!$Y$39="Baja",'[2]Mapa final'!$AA$39="Menor"),CONCATENATE("R5C",'[2]Mapa final'!$O$39),"")</f>
        <v/>
      </c>
      <c r="T40" s="92" t="str">
        <f>IF(AND('[2]Mapa final'!$Y$40="Baja",'[2]Mapa final'!$AA$40="Menor"),CONCATENATE("R5C",'[2]Mapa final'!$O$40),"")</f>
        <v/>
      </c>
      <c r="U40" s="93" t="str">
        <f>IF(AND('[2]Mapa final'!$Y$41="Baja",'[2]Mapa final'!$AA$41="Menor"),CONCATENATE("R5C",'[2]Mapa final'!$O$41),"")</f>
        <v/>
      </c>
      <c r="V40" s="91" t="str">
        <f>IF(AND('[2]Mapa final'!$Y$36="Baja",'[2]Mapa final'!$AA$36="Moderado"),CONCATENATE("R5C",'[2]Mapa final'!$O$36),"")</f>
        <v/>
      </c>
      <c r="W40" s="92" t="str">
        <f>IF(AND('[2]Mapa final'!$Y$37="Baja",'[2]Mapa final'!$AA$37="Moderado"),CONCATENATE("R5C",'[2]Mapa final'!$O$37),"")</f>
        <v/>
      </c>
      <c r="X40" s="92" t="str">
        <f>IF(AND('[2]Mapa final'!$Y$38="Baja",'[2]Mapa final'!$AA$38="Moderado"),CONCATENATE("R5C",'[2]Mapa final'!$O$38),"")</f>
        <v/>
      </c>
      <c r="Y40" s="92" t="str">
        <f>IF(AND('[2]Mapa final'!$Y$39="Baja",'[2]Mapa final'!$AA$39="Moderado"),CONCATENATE("R5C",'[2]Mapa final'!$O$39),"")</f>
        <v/>
      </c>
      <c r="Z40" s="92" t="str">
        <f>IF(AND('[2]Mapa final'!$Y$40="Baja",'[2]Mapa final'!$AA$40="Moderado"),CONCATENATE("R5C",'[2]Mapa final'!$O$40),"")</f>
        <v/>
      </c>
      <c r="AA40" s="93" t="str">
        <f>IF(AND('[2]Mapa final'!$Y$41="Baja",'[2]Mapa final'!$AA$41="Moderado"),CONCATENATE("R5C",'[2]Mapa final'!$O$41),"")</f>
        <v/>
      </c>
      <c r="AB40" s="76" t="str">
        <f>IF(AND('[2]Mapa final'!$Y$36="Baja",'[2]Mapa final'!$AA$36="Mayor"),CONCATENATE("R5C",'[2]Mapa final'!$O$36),"")</f>
        <v/>
      </c>
      <c r="AC40" s="77" t="str">
        <f>IF(AND('[2]Mapa final'!$Y$37="Baja",'[2]Mapa final'!$AA$37="Mayor"),CONCATENATE("R5C",'[2]Mapa final'!$O$37),"")</f>
        <v/>
      </c>
      <c r="AD40" s="77" t="str">
        <f>IF(AND('[2]Mapa final'!$Y$38="Baja",'[2]Mapa final'!$AA$38="Mayor"),CONCATENATE("R5C",'[2]Mapa final'!$O$38),"")</f>
        <v/>
      </c>
      <c r="AE40" s="77" t="str">
        <f>IF(AND('[2]Mapa final'!$Y$39="Baja",'[2]Mapa final'!$AA$39="Mayor"),CONCATENATE("R5C",'[2]Mapa final'!$O$39),"")</f>
        <v/>
      </c>
      <c r="AF40" s="77" t="str">
        <f>IF(AND('[2]Mapa final'!$Y$40="Baja",'[2]Mapa final'!$AA$40="Mayor"),CONCATENATE("R5C",'[2]Mapa final'!$O$40),"")</f>
        <v/>
      </c>
      <c r="AG40" s="78" t="str">
        <f>IF(AND('[2]Mapa final'!$Y$41="Baja",'[2]Mapa final'!$AA$41="Mayor"),CONCATENATE("R5C",'[2]Mapa final'!$O$41),"")</f>
        <v/>
      </c>
      <c r="AH40" s="79" t="str">
        <f>IF(AND('[2]Mapa final'!$Y$36="Baja",'[2]Mapa final'!$AA$36="Catastrófico"),CONCATENATE("R5C",'[2]Mapa final'!$O$36),"")</f>
        <v/>
      </c>
      <c r="AI40" s="80" t="str">
        <f>IF(AND('[2]Mapa final'!$Y$37="Baja",'[2]Mapa final'!$AA$37="Catastrófico"),CONCATENATE("R5C",'[2]Mapa final'!$O$37),"")</f>
        <v/>
      </c>
      <c r="AJ40" s="80" t="str">
        <f>IF(AND('[2]Mapa final'!$Y$38="Baja",'[2]Mapa final'!$AA$38="Catastrófico"),CONCATENATE("R5C",'[2]Mapa final'!$O$38),"")</f>
        <v/>
      </c>
      <c r="AK40" s="80" t="str">
        <f>IF(AND('[2]Mapa final'!$Y$39="Baja",'[2]Mapa final'!$AA$39="Catastrófico"),CONCATENATE("R5C",'[2]Mapa final'!$O$39),"")</f>
        <v/>
      </c>
      <c r="AL40" s="80" t="str">
        <f>IF(AND('[2]Mapa final'!$Y$40="Baja",'[2]Mapa final'!$AA$40="Catastrófico"),CONCATENATE("R5C",'[2]Mapa final'!$O$40),"")</f>
        <v/>
      </c>
      <c r="AM40" s="81" t="str">
        <f>IF(AND('[2]Mapa final'!$Y$41="Baja",'[2]Mapa final'!$AA$41="Catastrófico"),CONCATENATE("R5C",'[2]Mapa final'!$O$41),"")</f>
        <v/>
      </c>
      <c r="AN40" s="68"/>
      <c r="AO40" s="439"/>
      <c r="AP40" s="440"/>
      <c r="AQ40" s="440"/>
      <c r="AR40" s="440"/>
      <c r="AS40" s="440"/>
      <c r="AT40" s="441"/>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row>
    <row r="41" spans="1:80" ht="15" customHeight="1">
      <c r="A41" s="68"/>
      <c r="B41" s="406"/>
      <c r="C41" s="406"/>
      <c r="D41" s="407"/>
      <c r="E41" s="396"/>
      <c r="F41" s="397"/>
      <c r="G41" s="397"/>
      <c r="H41" s="397"/>
      <c r="I41" s="397"/>
      <c r="J41" s="100" t="str">
        <f>IF(AND('[2]Mapa final'!$Y$42="Baja",'[2]Mapa final'!$AA$42="Leve"),CONCATENATE("R6C",'[2]Mapa final'!$O$42),"")</f>
        <v/>
      </c>
      <c r="K41" s="101" t="str">
        <f>IF(AND('[2]Mapa final'!$Y$43="Baja",'[2]Mapa final'!$AA$43="Leve"),CONCATENATE("R6C",'[2]Mapa final'!$O$43),"")</f>
        <v/>
      </c>
      <c r="L41" s="101" t="str">
        <f>IF(AND('[2]Mapa final'!$Y$44="Baja",'[2]Mapa final'!$AA$44="Leve"),CONCATENATE("R6C",'[2]Mapa final'!$O$44),"")</f>
        <v/>
      </c>
      <c r="M41" s="101" t="str">
        <f>IF(AND('[2]Mapa final'!$Y$45="Baja",'[2]Mapa final'!$AA$45="Leve"),CONCATENATE("R6C",'[2]Mapa final'!$O$45),"")</f>
        <v/>
      </c>
      <c r="N41" s="101" t="str">
        <f>IF(AND('[2]Mapa final'!$Y$46="Baja",'[2]Mapa final'!$AA$46="Leve"),CONCATENATE("R6C",'[2]Mapa final'!$O$46),"")</f>
        <v/>
      </c>
      <c r="O41" s="102" t="str">
        <f>IF(AND('[2]Mapa final'!$Y$47="Baja",'[2]Mapa final'!$AA$47="Leve"),CONCATENATE("R6C",'[2]Mapa final'!$O$47),"")</f>
        <v/>
      </c>
      <c r="P41" s="91" t="str">
        <f>IF(AND('[2]Mapa final'!$Y$42="Baja",'[2]Mapa final'!$AA$42="Menor"),CONCATENATE("R6C",'[2]Mapa final'!$O$42),"")</f>
        <v/>
      </c>
      <c r="Q41" s="92" t="str">
        <f>IF(AND('[2]Mapa final'!$Y$43="Baja",'[2]Mapa final'!$AA$43="Menor"),CONCATENATE("R6C",'[2]Mapa final'!$O$43),"")</f>
        <v/>
      </c>
      <c r="R41" s="92" t="str">
        <f>IF(AND('[2]Mapa final'!$Y$44="Baja",'[2]Mapa final'!$AA$44="Menor"),CONCATENATE("R6C",'[2]Mapa final'!$O$44),"")</f>
        <v/>
      </c>
      <c r="S41" s="92" t="str">
        <f>IF(AND('[2]Mapa final'!$Y$45="Baja",'[2]Mapa final'!$AA$45="Menor"),CONCATENATE("R6C",'[2]Mapa final'!$O$45),"")</f>
        <v/>
      </c>
      <c r="T41" s="92" t="str">
        <f>IF(AND('[2]Mapa final'!$Y$46="Baja",'[2]Mapa final'!$AA$46="Menor"),CONCATENATE("R6C",'[2]Mapa final'!$O$46),"")</f>
        <v/>
      </c>
      <c r="U41" s="93" t="str">
        <f>IF(AND('[2]Mapa final'!$Y$47="Baja",'[2]Mapa final'!$AA$47="Menor"),CONCATENATE("R6C",'[2]Mapa final'!$O$47),"")</f>
        <v/>
      </c>
      <c r="V41" s="91" t="str">
        <f>IF(AND('[2]Mapa final'!$Y$42="Baja",'[2]Mapa final'!$AA$42="Moderado"),CONCATENATE("R6C",'[2]Mapa final'!$O$42),"")</f>
        <v/>
      </c>
      <c r="W41" s="92" t="str">
        <f>IF(AND('[2]Mapa final'!$Y$43="Baja",'[2]Mapa final'!$AA$43="Moderado"),CONCATENATE("R6C",'[2]Mapa final'!$O$43),"")</f>
        <v/>
      </c>
      <c r="X41" s="92" t="str">
        <f>IF(AND('[2]Mapa final'!$Y$44="Baja",'[2]Mapa final'!$AA$44="Moderado"),CONCATENATE("R6C",'[2]Mapa final'!$O$44),"")</f>
        <v/>
      </c>
      <c r="Y41" s="92" t="str">
        <f>IF(AND('[2]Mapa final'!$Y$45="Baja",'[2]Mapa final'!$AA$45="Moderado"),CONCATENATE("R6C",'[2]Mapa final'!$O$45),"")</f>
        <v/>
      </c>
      <c r="Z41" s="92" t="str">
        <f>IF(AND('[2]Mapa final'!$Y$46="Baja",'[2]Mapa final'!$AA$46="Moderado"),CONCATENATE("R6C",'[2]Mapa final'!$O$46),"")</f>
        <v/>
      </c>
      <c r="AA41" s="93" t="str">
        <f>IF(AND('[2]Mapa final'!$Y$47="Baja",'[2]Mapa final'!$AA$47="Moderado"),CONCATENATE("R6C",'[2]Mapa final'!$O$47),"")</f>
        <v/>
      </c>
      <c r="AB41" s="76" t="str">
        <f>IF(AND('[2]Mapa final'!$Y$42="Baja",'[2]Mapa final'!$AA$42="Mayor"),CONCATENATE("R6C",'[2]Mapa final'!$O$42),"")</f>
        <v/>
      </c>
      <c r="AC41" s="77" t="str">
        <f>IF(AND('[2]Mapa final'!$Y$43="Baja",'[2]Mapa final'!$AA$43="Mayor"),CONCATENATE("R6C",'[2]Mapa final'!$O$43),"")</f>
        <v/>
      </c>
      <c r="AD41" s="77" t="str">
        <f>IF(AND('[2]Mapa final'!$Y$44="Baja",'[2]Mapa final'!$AA$44="Mayor"),CONCATENATE("R6C",'[2]Mapa final'!$O$44),"")</f>
        <v/>
      </c>
      <c r="AE41" s="77" t="str">
        <f>IF(AND('[2]Mapa final'!$Y$45="Baja",'[2]Mapa final'!$AA$45="Mayor"),CONCATENATE("R6C",'[2]Mapa final'!$O$45),"")</f>
        <v/>
      </c>
      <c r="AF41" s="77" t="str">
        <f>IF(AND('[2]Mapa final'!$Y$46="Baja",'[2]Mapa final'!$AA$46="Mayor"),CONCATENATE("R6C",'[2]Mapa final'!$O$46),"")</f>
        <v/>
      </c>
      <c r="AG41" s="78" t="str">
        <f>IF(AND('[2]Mapa final'!$Y$47="Baja",'[2]Mapa final'!$AA$47="Mayor"),CONCATENATE("R6C",'[2]Mapa final'!$O$47),"")</f>
        <v/>
      </c>
      <c r="AH41" s="79" t="str">
        <f>IF(AND('[2]Mapa final'!$Y$42="Baja",'[2]Mapa final'!$AA$42="Catastrófico"),CONCATENATE("R6C",'[2]Mapa final'!$O$42),"")</f>
        <v/>
      </c>
      <c r="AI41" s="80" t="str">
        <f>IF(AND('[2]Mapa final'!$Y$43="Baja",'[2]Mapa final'!$AA$43="Catastrófico"),CONCATENATE("R6C",'[2]Mapa final'!$O$43),"")</f>
        <v/>
      </c>
      <c r="AJ41" s="80" t="str">
        <f>IF(AND('[2]Mapa final'!$Y$44="Baja",'[2]Mapa final'!$AA$44="Catastrófico"),CONCATENATE("R6C",'[2]Mapa final'!$O$44),"")</f>
        <v/>
      </c>
      <c r="AK41" s="80" t="str">
        <f>IF(AND('[2]Mapa final'!$Y$45="Baja",'[2]Mapa final'!$AA$45="Catastrófico"),CONCATENATE("R6C",'[2]Mapa final'!$O$45),"")</f>
        <v/>
      </c>
      <c r="AL41" s="80" t="str">
        <f>IF(AND('[2]Mapa final'!$Y$46="Baja",'[2]Mapa final'!$AA$46="Catastrófico"),CONCATENATE("R6C",'[2]Mapa final'!$O$46),"")</f>
        <v/>
      </c>
      <c r="AM41" s="81" t="str">
        <f>IF(AND('[2]Mapa final'!$Y$47="Baja",'[2]Mapa final'!$AA$47="Catastrófico"),CONCATENATE("R6C",'[2]Mapa final'!$O$47),"")</f>
        <v/>
      </c>
      <c r="AN41" s="68"/>
      <c r="AO41" s="439"/>
      <c r="AP41" s="440"/>
      <c r="AQ41" s="440"/>
      <c r="AR41" s="440"/>
      <c r="AS41" s="440"/>
      <c r="AT41" s="441"/>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row>
    <row r="42" spans="1:80" ht="15" customHeight="1">
      <c r="A42" s="68"/>
      <c r="B42" s="406"/>
      <c r="C42" s="406"/>
      <c r="D42" s="407"/>
      <c r="E42" s="396"/>
      <c r="F42" s="397"/>
      <c r="G42" s="397"/>
      <c r="H42" s="397"/>
      <c r="I42" s="397"/>
      <c r="J42" s="100" t="str">
        <f>IF(AND('[2]Mapa final'!$Y$48="Baja",'[2]Mapa final'!$AA$48="Leve"),CONCATENATE("R7C",'[2]Mapa final'!$O$48),"")</f>
        <v/>
      </c>
      <c r="K42" s="101" t="str">
        <f>IF(AND('[2]Mapa final'!$Y$49="Baja",'[2]Mapa final'!$AA$49="Leve"),CONCATENATE("R7C",'[2]Mapa final'!$O$49),"")</f>
        <v/>
      </c>
      <c r="L42" s="101" t="str">
        <f>IF(AND('[2]Mapa final'!$Y$50="Baja",'[2]Mapa final'!$AA$50="Leve"),CONCATENATE("R7C",'[2]Mapa final'!$O$50),"")</f>
        <v/>
      </c>
      <c r="M42" s="101" t="str">
        <f>IF(AND('[2]Mapa final'!$Y$51="Baja",'[2]Mapa final'!$AA$51="Leve"),CONCATENATE("R7C",'[2]Mapa final'!$O$51),"")</f>
        <v/>
      </c>
      <c r="N42" s="101" t="str">
        <f>IF(AND('[2]Mapa final'!$Y$52="Baja",'[2]Mapa final'!$AA$52="Leve"),CONCATENATE("R7C",'[2]Mapa final'!$O$52),"")</f>
        <v/>
      </c>
      <c r="O42" s="102" t="str">
        <f>IF(AND('[2]Mapa final'!$Y$53="Baja",'[2]Mapa final'!$AA$53="Leve"),CONCATENATE("R7C",'[2]Mapa final'!$O$53),"")</f>
        <v/>
      </c>
      <c r="P42" s="91" t="str">
        <f>IF(AND('[2]Mapa final'!$Y$48="Baja",'[2]Mapa final'!$AA$48="Menor"),CONCATENATE("R7C",'[2]Mapa final'!$O$48),"")</f>
        <v/>
      </c>
      <c r="Q42" s="92" t="str">
        <f>IF(AND('[2]Mapa final'!$Y$49="Baja",'[2]Mapa final'!$AA$49="Menor"),CONCATENATE("R7C",'[2]Mapa final'!$O$49),"")</f>
        <v/>
      </c>
      <c r="R42" s="92" t="str">
        <f>IF(AND('[2]Mapa final'!$Y$50="Baja",'[2]Mapa final'!$AA$50="Menor"),CONCATENATE("R7C",'[2]Mapa final'!$O$50),"")</f>
        <v/>
      </c>
      <c r="S42" s="92" t="str">
        <f>IF(AND('[2]Mapa final'!$Y$51="Baja",'[2]Mapa final'!$AA$51="Menor"),CONCATENATE("R7C",'[2]Mapa final'!$O$51),"")</f>
        <v/>
      </c>
      <c r="T42" s="92" t="str">
        <f>IF(AND('[2]Mapa final'!$Y$52="Baja",'[2]Mapa final'!$AA$52="Menor"),CONCATENATE("R7C",'[2]Mapa final'!$O$52),"")</f>
        <v/>
      </c>
      <c r="U42" s="93" t="str">
        <f>IF(AND('[2]Mapa final'!$Y$53="Baja",'[2]Mapa final'!$AA$53="Menor"),CONCATENATE("R7C",'[2]Mapa final'!$O$53),"")</f>
        <v/>
      </c>
      <c r="V42" s="91" t="str">
        <f>IF(AND('[2]Mapa final'!$Y$48="Baja",'[2]Mapa final'!$AA$48="Moderado"),CONCATENATE("R7C",'[2]Mapa final'!$O$48),"")</f>
        <v/>
      </c>
      <c r="W42" s="92" t="str">
        <f>IF(AND('[2]Mapa final'!$Y$49="Baja",'[2]Mapa final'!$AA$49="Moderado"),CONCATENATE("R7C",'[2]Mapa final'!$O$49),"")</f>
        <v/>
      </c>
      <c r="X42" s="92" t="str">
        <f>IF(AND('[2]Mapa final'!$Y$50="Baja",'[2]Mapa final'!$AA$50="Moderado"),CONCATENATE("R7C",'[2]Mapa final'!$O$50),"")</f>
        <v/>
      </c>
      <c r="Y42" s="92" t="str">
        <f>IF(AND('[2]Mapa final'!$Y$51="Baja",'[2]Mapa final'!$AA$51="Moderado"),CONCATENATE("R7C",'[2]Mapa final'!$O$51),"")</f>
        <v/>
      </c>
      <c r="Z42" s="92" t="str">
        <f>IF(AND('[2]Mapa final'!$Y$52="Baja",'[2]Mapa final'!$AA$52="Moderado"),CONCATENATE("R7C",'[2]Mapa final'!$O$52),"")</f>
        <v/>
      </c>
      <c r="AA42" s="93" t="str">
        <f>IF(AND('[2]Mapa final'!$Y$53="Baja",'[2]Mapa final'!$AA$53="Moderado"),CONCATENATE("R7C",'[2]Mapa final'!$O$53),"")</f>
        <v/>
      </c>
      <c r="AB42" s="76" t="str">
        <f>IF(AND('[2]Mapa final'!$Y$48="Baja",'[2]Mapa final'!$AA$48="Mayor"),CONCATENATE("R7C",'[2]Mapa final'!$O$48),"")</f>
        <v/>
      </c>
      <c r="AC42" s="77" t="str">
        <f>IF(AND('[2]Mapa final'!$Y$49="Baja",'[2]Mapa final'!$AA$49="Mayor"),CONCATENATE("R7C",'[2]Mapa final'!$O$49),"")</f>
        <v/>
      </c>
      <c r="AD42" s="77" t="str">
        <f>IF(AND('[2]Mapa final'!$Y$50="Baja",'[2]Mapa final'!$AA$50="Mayor"),CONCATENATE("R7C",'[2]Mapa final'!$O$50),"")</f>
        <v/>
      </c>
      <c r="AE42" s="77" t="str">
        <f>IF(AND('[2]Mapa final'!$Y$51="Baja",'[2]Mapa final'!$AA$51="Mayor"),CONCATENATE("R7C",'[2]Mapa final'!$O$51),"")</f>
        <v/>
      </c>
      <c r="AF42" s="77" t="str">
        <f>IF(AND('[2]Mapa final'!$Y$52="Baja",'[2]Mapa final'!$AA$52="Mayor"),CONCATENATE("R7C",'[2]Mapa final'!$O$52),"")</f>
        <v/>
      </c>
      <c r="AG42" s="78" t="str">
        <f>IF(AND('[2]Mapa final'!$Y$53="Baja",'[2]Mapa final'!$AA$53="Mayor"),CONCATENATE("R7C",'[2]Mapa final'!$O$53),"")</f>
        <v/>
      </c>
      <c r="AH42" s="79" t="str">
        <f>IF(AND('[2]Mapa final'!$Y$48="Baja",'[2]Mapa final'!$AA$48="Catastrófico"),CONCATENATE("R7C",'[2]Mapa final'!$O$48),"")</f>
        <v/>
      </c>
      <c r="AI42" s="80" t="str">
        <f>IF(AND('[2]Mapa final'!$Y$49="Baja",'[2]Mapa final'!$AA$49="Catastrófico"),CONCATENATE("R7C",'[2]Mapa final'!$O$49),"")</f>
        <v/>
      </c>
      <c r="AJ42" s="80" t="str">
        <f>IF(AND('[2]Mapa final'!$Y$50="Baja",'[2]Mapa final'!$AA$50="Catastrófico"),CONCATENATE("R7C",'[2]Mapa final'!$O$50),"")</f>
        <v/>
      </c>
      <c r="AK42" s="80" t="str">
        <f>IF(AND('[2]Mapa final'!$Y$51="Baja",'[2]Mapa final'!$AA$51="Catastrófico"),CONCATENATE("R7C",'[2]Mapa final'!$O$51),"")</f>
        <v/>
      </c>
      <c r="AL42" s="80" t="str">
        <f>IF(AND('[2]Mapa final'!$Y$52="Baja",'[2]Mapa final'!$AA$52="Catastrófico"),CONCATENATE("R7C",'[2]Mapa final'!$O$52),"")</f>
        <v/>
      </c>
      <c r="AM42" s="81" t="str">
        <f>IF(AND('[2]Mapa final'!$Y$53="Baja",'[2]Mapa final'!$AA$53="Catastrófico"),CONCATENATE("R7C",'[2]Mapa final'!$O$53),"")</f>
        <v/>
      </c>
      <c r="AN42" s="68"/>
      <c r="AO42" s="439"/>
      <c r="AP42" s="440"/>
      <c r="AQ42" s="440"/>
      <c r="AR42" s="440"/>
      <c r="AS42" s="440"/>
      <c r="AT42" s="441"/>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row>
    <row r="43" spans="1:80" ht="15" customHeight="1">
      <c r="A43" s="68"/>
      <c r="B43" s="406"/>
      <c r="C43" s="406"/>
      <c r="D43" s="407"/>
      <c r="E43" s="396"/>
      <c r="F43" s="397"/>
      <c r="G43" s="397"/>
      <c r="H43" s="397"/>
      <c r="I43" s="397"/>
      <c r="J43" s="100" t="str">
        <f>IF(AND('[2]Mapa final'!$Y$54="Baja",'[2]Mapa final'!$AA$54="Leve"),CONCATENATE("R8C",'[2]Mapa final'!$O$54),"")</f>
        <v/>
      </c>
      <c r="K43" s="101" t="str">
        <f>IF(AND('[2]Mapa final'!$Y$55="Baja",'[2]Mapa final'!$AA$55="Leve"),CONCATENATE("R8C",'[2]Mapa final'!$O$55),"")</f>
        <v/>
      </c>
      <c r="L43" s="101" t="str">
        <f>IF(AND('[2]Mapa final'!$Y$56="Baja",'[2]Mapa final'!$AA$56="Leve"),CONCATENATE("R8C",'[2]Mapa final'!$O$56),"")</f>
        <v/>
      </c>
      <c r="M43" s="101" t="str">
        <f>IF(AND('[2]Mapa final'!$Y$57="Baja",'[2]Mapa final'!$AA$57="Leve"),CONCATENATE("R8C",'[2]Mapa final'!$O$57),"")</f>
        <v/>
      </c>
      <c r="N43" s="101" t="str">
        <f>IF(AND('[2]Mapa final'!$Y$58="Baja",'[2]Mapa final'!$AA$58="Leve"),CONCATENATE("R8C",'[2]Mapa final'!$O$58),"")</f>
        <v/>
      </c>
      <c r="O43" s="102" t="str">
        <f>IF(AND('[2]Mapa final'!$Y$59="Baja",'[2]Mapa final'!$AA$59="Leve"),CONCATENATE("R8C",'[2]Mapa final'!$O$59),"")</f>
        <v/>
      </c>
      <c r="P43" s="91" t="str">
        <f>IF(AND('[2]Mapa final'!$Y$54="Baja",'[2]Mapa final'!$AA$54="Menor"),CONCATENATE("R8C",'[2]Mapa final'!$O$54),"")</f>
        <v/>
      </c>
      <c r="Q43" s="92" t="str">
        <f>IF(AND('[2]Mapa final'!$Y$55="Baja",'[2]Mapa final'!$AA$55="Menor"),CONCATENATE("R8C",'[2]Mapa final'!$O$55),"")</f>
        <v/>
      </c>
      <c r="R43" s="92" t="str">
        <f>IF(AND('[2]Mapa final'!$Y$56="Baja",'[2]Mapa final'!$AA$56="Menor"),CONCATENATE("R8C",'[2]Mapa final'!$O$56),"")</f>
        <v/>
      </c>
      <c r="S43" s="92" t="str">
        <f>IF(AND('[2]Mapa final'!$Y$57="Baja",'[2]Mapa final'!$AA$57="Menor"),CONCATENATE("R8C",'[2]Mapa final'!$O$57),"")</f>
        <v/>
      </c>
      <c r="T43" s="92" t="str">
        <f>IF(AND('[2]Mapa final'!$Y$58="Baja",'[2]Mapa final'!$AA$58="Menor"),CONCATENATE("R8C",'[2]Mapa final'!$O$58),"")</f>
        <v/>
      </c>
      <c r="U43" s="93" t="str">
        <f>IF(AND('[2]Mapa final'!$Y$59="Baja",'[2]Mapa final'!$AA$59="Menor"),CONCATENATE("R8C",'[2]Mapa final'!$O$59),"")</f>
        <v/>
      </c>
      <c r="V43" s="91" t="str">
        <f>IF(AND('[2]Mapa final'!$Y$54="Baja",'[2]Mapa final'!$AA$54="Moderado"),CONCATENATE("R8C",'[2]Mapa final'!$O$54),"")</f>
        <v/>
      </c>
      <c r="W43" s="92" t="str">
        <f>IF(AND('[2]Mapa final'!$Y$55="Baja",'[2]Mapa final'!$AA$55="Moderado"),CONCATENATE("R8C",'[2]Mapa final'!$O$55),"")</f>
        <v/>
      </c>
      <c r="X43" s="92" t="str">
        <f>IF(AND('[2]Mapa final'!$Y$56="Baja",'[2]Mapa final'!$AA$56="Moderado"),CONCATENATE("R8C",'[2]Mapa final'!$O$56),"")</f>
        <v/>
      </c>
      <c r="Y43" s="92" t="str">
        <f>IF(AND('[2]Mapa final'!$Y$57="Baja",'[2]Mapa final'!$AA$57="Moderado"),CONCATENATE("R8C",'[2]Mapa final'!$O$57),"")</f>
        <v/>
      </c>
      <c r="Z43" s="92" t="str">
        <f>IF(AND('[2]Mapa final'!$Y$58="Baja",'[2]Mapa final'!$AA$58="Moderado"),CONCATENATE("R8C",'[2]Mapa final'!$O$58),"")</f>
        <v/>
      </c>
      <c r="AA43" s="93" t="str">
        <f>IF(AND('[2]Mapa final'!$Y$59="Baja",'[2]Mapa final'!$AA$59="Moderado"),CONCATENATE("R8C",'[2]Mapa final'!$O$59),"")</f>
        <v/>
      </c>
      <c r="AB43" s="76" t="str">
        <f>IF(AND('[2]Mapa final'!$Y$54="Baja",'[2]Mapa final'!$AA$54="Mayor"),CONCATENATE("R8C",'[2]Mapa final'!$O$54),"")</f>
        <v>R8C1</v>
      </c>
      <c r="AC43" s="77" t="str">
        <f>IF(AND('[2]Mapa final'!$Y$55="Baja",'[2]Mapa final'!$AA$55="Mayor"),CONCATENATE("R8C",'[2]Mapa final'!$O$55),"")</f>
        <v/>
      </c>
      <c r="AD43" s="77" t="str">
        <f>IF(AND('[2]Mapa final'!$Y$56="Baja",'[2]Mapa final'!$AA$56="Mayor"),CONCATENATE("R8C",'[2]Mapa final'!$O$56),"")</f>
        <v/>
      </c>
      <c r="AE43" s="77" t="str">
        <f>IF(AND('[2]Mapa final'!$Y$57="Baja",'[2]Mapa final'!$AA$57="Mayor"),CONCATENATE("R8C",'[2]Mapa final'!$O$57),"")</f>
        <v/>
      </c>
      <c r="AF43" s="77" t="str">
        <f>IF(AND('[2]Mapa final'!$Y$58="Baja",'[2]Mapa final'!$AA$58="Mayor"),CONCATENATE("R8C",'[2]Mapa final'!$O$58),"")</f>
        <v/>
      </c>
      <c r="AG43" s="78" t="str">
        <f>IF(AND('[2]Mapa final'!$Y$59="Baja",'[2]Mapa final'!$AA$59="Mayor"),CONCATENATE("R8C",'[2]Mapa final'!$O$59),"")</f>
        <v/>
      </c>
      <c r="AH43" s="79" t="str">
        <f>IF(AND('[2]Mapa final'!$Y$54="Baja",'[2]Mapa final'!$AA$54="Catastrófico"),CONCATENATE("R8C",'[2]Mapa final'!$O$54),"")</f>
        <v/>
      </c>
      <c r="AI43" s="80" t="str">
        <f>IF(AND('[2]Mapa final'!$Y$55="Baja",'[2]Mapa final'!$AA$55="Catastrófico"),CONCATENATE("R8C",'[2]Mapa final'!$O$55),"")</f>
        <v/>
      </c>
      <c r="AJ43" s="80" t="str">
        <f>IF(AND('[2]Mapa final'!$Y$56="Baja",'[2]Mapa final'!$AA$56="Catastrófico"),CONCATENATE("R8C",'[2]Mapa final'!$O$56),"")</f>
        <v/>
      </c>
      <c r="AK43" s="80" t="str">
        <f>IF(AND('[2]Mapa final'!$Y$57="Baja",'[2]Mapa final'!$AA$57="Catastrófico"),CONCATENATE("R8C",'[2]Mapa final'!$O$57),"")</f>
        <v/>
      </c>
      <c r="AL43" s="80" t="str">
        <f>IF(AND('[2]Mapa final'!$Y$58="Baja",'[2]Mapa final'!$AA$58="Catastrófico"),CONCATENATE("R8C",'[2]Mapa final'!$O$58),"")</f>
        <v/>
      </c>
      <c r="AM43" s="81" t="str">
        <f>IF(AND('[2]Mapa final'!$Y$59="Baja",'[2]Mapa final'!$AA$59="Catastrófico"),CONCATENATE("R8C",'[2]Mapa final'!$O$59),"")</f>
        <v/>
      </c>
      <c r="AN43" s="68"/>
      <c r="AO43" s="439"/>
      <c r="AP43" s="440"/>
      <c r="AQ43" s="440"/>
      <c r="AR43" s="440"/>
      <c r="AS43" s="440"/>
      <c r="AT43" s="441"/>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row>
    <row r="44" spans="1:80" ht="15" customHeight="1">
      <c r="A44" s="68"/>
      <c r="B44" s="406"/>
      <c r="C44" s="406"/>
      <c r="D44" s="407"/>
      <c r="E44" s="396"/>
      <c r="F44" s="397"/>
      <c r="G44" s="397"/>
      <c r="H44" s="397"/>
      <c r="I44" s="397"/>
      <c r="J44" s="100" t="str">
        <f>IF(AND('[2]Mapa final'!$Y$60="Baja",'[2]Mapa final'!$AA$60="Leve"),CONCATENATE("R9C",'[2]Mapa final'!$O$60),"")</f>
        <v/>
      </c>
      <c r="K44" s="101" t="str">
        <f>IF(AND('[2]Mapa final'!$Y$61="Baja",'[2]Mapa final'!$AA$61="Leve"),CONCATENATE("R9C",'[2]Mapa final'!$O$61),"")</f>
        <v/>
      </c>
      <c r="L44" s="101" t="str">
        <f>IF(AND('[2]Mapa final'!$Y$62="Baja",'[2]Mapa final'!$AA$62="Leve"),CONCATENATE("R9C",'[2]Mapa final'!$O$62),"")</f>
        <v/>
      </c>
      <c r="M44" s="101" t="str">
        <f>IF(AND('[2]Mapa final'!$Y$63="Baja",'[2]Mapa final'!$AA$63="Leve"),CONCATENATE("R9C",'[2]Mapa final'!$O$63),"")</f>
        <v/>
      </c>
      <c r="N44" s="101" t="str">
        <f>IF(AND('[2]Mapa final'!$Y$64="Baja",'[2]Mapa final'!$AA$64="Leve"),CONCATENATE("R9C",'[2]Mapa final'!$O$64),"")</f>
        <v/>
      </c>
      <c r="O44" s="102" t="str">
        <f>IF(AND('[2]Mapa final'!$Y$65="Baja",'[2]Mapa final'!$AA$65="Leve"),CONCATENATE("R9C",'[2]Mapa final'!$O$65),"")</f>
        <v/>
      </c>
      <c r="P44" s="91" t="str">
        <f>IF(AND('[2]Mapa final'!$Y$60="Baja",'[2]Mapa final'!$AA$60="Menor"),CONCATENATE("R9C",'[2]Mapa final'!$O$60),"")</f>
        <v/>
      </c>
      <c r="Q44" s="92" t="str">
        <f>IF(AND('[2]Mapa final'!$Y$61="Baja",'[2]Mapa final'!$AA$61="Menor"),CONCATENATE("R9C",'[2]Mapa final'!$O$61),"")</f>
        <v/>
      </c>
      <c r="R44" s="92" t="str">
        <f>IF(AND('[2]Mapa final'!$Y$62="Baja",'[2]Mapa final'!$AA$62="Menor"),CONCATENATE("R9C",'[2]Mapa final'!$O$62),"")</f>
        <v/>
      </c>
      <c r="S44" s="92" t="str">
        <f>IF(AND('[2]Mapa final'!$Y$63="Baja",'[2]Mapa final'!$AA$63="Menor"),CONCATENATE("R9C",'[2]Mapa final'!$O$63),"")</f>
        <v/>
      </c>
      <c r="T44" s="92" t="str">
        <f>IF(AND('[2]Mapa final'!$Y$64="Baja",'[2]Mapa final'!$AA$64="Menor"),CONCATENATE("R9C",'[2]Mapa final'!$O$64),"")</f>
        <v/>
      </c>
      <c r="U44" s="93" t="str">
        <f>IF(AND('[2]Mapa final'!$Y$65="Baja",'[2]Mapa final'!$AA$65="Menor"),CONCATENATE("R9C",'[2]Mapa final'!$O$65),"")</f>
        <v/>
      </c>
      <c r="V44" s="91" t="str">
        <f>IF(AND('[2]Mapa final'!$Y$60="Baja",'[2]Mapa final'!$AA$60="Moderado"),CONCATENATE("R9C",'[2]Mapa final'!$O$60),"")</f>
        <v/>
      </c>
      <c r="W44" s="92" t="str">
        <f>IF(AND('[2]Mapa final'!$Y$61="Baja",'[2]Mapa final'!$AA$61="Moderado"),CONCATENATE("R9C",'[2]Mapa final'!$O$61),"")</f>
        <v/>
      </c>
      <c r="X44" s="92" t="str">
        <f>IF(AND('[2]Mapa final'!$Y$62="Baja",'[2]Mapa final'!$AA$62="Moderado"),CONCATENATE("R9C",'[2]Mapa final'!$O$62),"")</f>
        <v/>
      </c>
      <c r="Y44" s="92" t="str">
        <f>IF(AND('[2]Mapa final'!$Y$63="Baja",'[2]Mapa final'!$AA$63="Moderado"),CONCATENATE("R9C",'[2]Mapa final'!$O$63),"")</f>
        <v/>
      </c>
      <c r="Z44" s="92" t="str">
        <f>IF(AND('[2]Mapa final'!$Y$64="Baja",'[2]Mapa final'!$AA$64="Moderado"),CONCATENATE("R9C",'[2]Mapa final'!$O$64),"")</f>
        <v/>
      </c>
      <c r="AA44" s="93" t="str">
        <f>IF(AND('[2]Mapa final'!$Y$65="Baja",'[2]Mapa final'!$AA$65="Moderado"),CONCATENATE("R9C",'[2]Mapa final'!$O$65),"")</f>
        <v/>
      </c>
      <c r="AB44" s="76" t="str">
        <f>IF(AND('[2]Mapa final'!$Y$60="Baja",'[2]Mapa final'!$AA$60="Mayor"),CONCATENATE("R9C",'[2]Mapa final'!$O$60),"")</f>
        <v/>
      </c>
      <c r="AC44" s="77" t="str">
        <f>IF(AND('[2]Mapa final'!$Y$61="Baja",'[2]Mapa final'!$AA$61="Mayor"),CONCATENATE("R9C",'[2]Mapa final'!$O$61),"")</f>
        <v/>
      </c>
      <c r="AD44" s="77" t="str">
        <f>IF(AND('[2]Mapa final'!$Y$62="Baja",'[2]Mapa final'!$AA$62="Mayor"),CONCATENATE("R9C",'[2]Mapa final'!$O$62),"")</f>
        <v/>
      </c>
      <c r="AE44" s="77" t="str">
        <f>IF(AND('[2]Mapa final'!$Y$63="Baja",'[2]Mapa final'!$AA$63="Mayor"),CONCATENATE("R9C",'[2]Mapa final'!$O$63),"")</f>
        <v/>
      </c>
      <c r="AF44" s="77" t="str">
        <f>IF(AND('[2]Mapa final'!$Y$64="Baja",'[2]Mapa final'!$AA$64="Mayor"),CONCATENATE("R9C",'[2]Mapa final'!$O$64),"")</f>
        <v/>
      </c>
      <c r="AG44" s="78" t="str">
        <f>IF(AND('[2]Mapa final'!$Y$65="Baja",'[2]Mapa final'!$AA$65="Mayor"),CONCATENATE("R9C",'[2]Mapa final'!$O$65),"")</f>
        <v/>
      </c>
      <c r="AH44" s="79" t="str">
        <f>IF(AND('[2]Mapa final'!$Y$60="Baja",'[2]Mapa final'!$AA$60="Catastrófico"),CONCATENATE("R9C",'[2]Mapa final'!$O$60),"")</f>
        <v/>
      </c>
      <c r="AI44" s="80" t="str">
        <f>IF(AND('[2]Mapa final'!$Y$61="Baja",'[2]Mapa final'!$AA$61="Catastrófico"),CONCATENATE("R9C",'[2]Mapa final'!$O$61),"")</f>
        <v/>
      </c>
      <c r="AJ44" s="80" t="str">
        <f>IF(AND('[2]Mapa final'!$Y$62="Baja",'[2]Mapa final'!$AA$62="Catastrófico"),CONCATENATE("R9C",'[2]Mapa final'!$O$62),"")</f>
        <v/>
      </c>
      <c r="AK44" s="80" t="str">
        <f>IF(AND('[2]Mapa final'!$Y$63="Baja",'[2]Mapa final'!$AA$63="Catastrófico"),CONCATENATE("R9C",'[2]Mapa final'!$O$63),"")</f>
        <v/>
      </c>
      <c r="AL44" s="80" t="str">
        <f>IF(AND('[2]Mapa final'!$Y$64="Baja",'[2]Mapa final'!$AA$64="Catastrófico"),CONCATENATE("R9C",'[2]Mapa final'!$O$64),"")</f>
        <v/>
      </c>
      <c r="AM44" s="81" t="str">
        <f>IF(AND('[2]Mapa final'!$Y$65="Baja",'[2]Mapa final'!$AA$65="Catastrófico"),CONCATENATE("R9C",'[2]Mapa final'!$O$65),"")</f>
        <v/>
      </c>
      <c r="AN44" s="68"/>
      <c r="AO44" s="439"/>
      <c r="AP44" s="440"/>
      <c r="AQ44" s="440"/>
      <c r="AR44" s="440"/>
      <c r="AS44" s="440"/>
      <c r="AT44" s="441"/>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row>
    <row r="45" spans="1:80" ht="15.75" customHeight="1" thickBot="1">
      <c r="A45" s="68"/>
      <c r="B45" s="406"/>
      <c r="C45" s="406"/>
      <c r="D45" s="407"/>
      <c r="E45" s="399"/>
      <c r="F45" s="400"/>
      <c r="G45" s="400"/>
      <c r="H45" s="400"/>
      <c r="I45" s="400"/>
      <c r="J45" s="103" t="str">
        <f>IF(AND('[2]Mapa final'!$Y$66="Baja",'[2]Mapa final'!$AA$66="Leve"),CONCATENATE("R10C",'[2]Mapa final'!$O$66),"")</f>
        <v/>
      </c>
      <c r="K45" s="104" t="str">
        <f>IF(AND('[2]Mapa final'!$Y$67="Baja",'[2]Mapa final'!$AA$67="Leve"),CONCATENATE("R10C",'[2]Mapa final'!$O$67),"")</f>
        <v/>
      </c>
      <c r="L45" s="104" t="str">
        <f>IF(AND('[2]Mapa final'!$Y$68="Baja",'[2]Mapa final'!$AA$68="Leve"),CONCATENATE("R10C",'[2]Mapa final'!$O$68),"")</f>
        <v/>
      </c>
      <c r="M45" s="104" t="str">
        <f>IF(AND('[2]Mapa final'!$Y$69="Baja",'[2]Mapa final'!$AA$69="Leve"),CONCATENATE("R10C",'[2]Mapa final'!$O$69),"")</f>
        <v/>
      </c>
      <c r="N45" s="104" t="str">
        <f>IF(AND('[2]Mapa final'!$Y$70="Baja",'[2]Mapa final'!$AA$70="Leve"),CONCATENATE("R10C",'[2]Mapa final'!$O$70),"")</f>
        <v/>
      </c>
      <c r="O45" s="105" t="str">
        <f>IF(AND('[2]Mapa final'!$Y$71="Baja",'[2]Mapa final'!$AA$71="Leve"),CONCATENATE("R10C",'[2]Mapa final'!$O$71),"")</f>
        <v/>
      </c>
      <c r="P45" s="91" t="str">
        <f>IF(AND('[2]Mapa final'!$Y$66="Baja",'[2]Mapa final'!$AA$66="Menor"),CONCATENATE("R10C",'[2]Mapa final'!$O$66),"")</f>
        <v/>
      </c>
      <c r="Q45" s="92" t="str">
        <f>IF(AND('[2]Mapa final'!$Y$67="Baja",'[2]Mapa final'!$AA$67="Menor"),CONCATENATE("R10C",'[2]Mapa final'!$O$67),"")</f>
        <v/>
      </c>
      <c r="R45" s="92" t="str">
        <f>IF(AND('[2]Mapa final'!$Y$68="Baja",'[2]Mapa final'!$AA$68="Menor"),CONCATENATE("R10C",'[2]Mapa final'!$O$68),"")</f>
        <v/>
      </c>
      <c r="S45" s="92" t="str">
        <f>IF(AND('[2]Mapa final'!$Y$69="Baja",'[2]Mapa final'!$AA$69="Menor"),CONCATENATE("R10C",'[2]Mapa final'!$O$69),"")</f>
        <v/>
      </c>
      <c r="T45" s="92" t="str">
        <f>IF(AND('[2]Mapa final'!$Y$70="Baja",'[2]Mapa final'!$AA$70="Menor"),CONCATENATE("R10C",'[2]Mapa final'!$O$70),"")</f>
        <v/>
      </c>
      <c r="U45" s="93" t="str">
        <f>IF(AND('[2]Mapa final'!$Y$71="Baja",'[2]Mapa final'!$AA$71="Menor"),CONCATENATE("R10C",'[2]Mapa final'!$O$71),"")</f>
        <v/>
      </c>
      <c r="V45" s="94" t="str">
        <f>IF(AND('[2]Mapa final'!$Y$66="Baja",'[2]Mapa final'!$AA$66="Moderado"),CONCATENATE("R10C",'[2]Mapa final'!$O$66),"")</f>
        <v/>
      </c>
      <c r="W45" s="95" t="str">
        <f>IF(AND('[2]Mapa final'!$Y$67="Baja",'[2]Mapa final'!$AA$67="Moderado"),CONCATENATE("R10C",'[2]Mapa final'!$O$67),"")</f>
        <v/>
      </c>
      <c r="X45" s="95" t="str">
        <f>IF(AND('[2]Mapa final'!$Y$68="Baja",'[2]Mapa final'!$AA$68="Moderado"),CONCATENATE("R10C",'[2]Mapa final'!$O$68),"")</f>
        <v/>
      </c>
      <c r="Y45" s="95" t="str">
        <f>IF(AND('[2]Mapa final'!$Y$69="Baja",'[2]Mapa final'!$AA$69="Moderado"),CONCATENATE("R10C",'[2]Mapa final'!$O$69),"")</f>
        <v/>
      </c>
      <c r="Z45" s="95" t="str">
        <f>IF(AND('[2]Mapa final'!$Y$70="Baja",'[2]Mapa final'!$AA$70="Moderado"),CONCATENATE("R10C",'[2]Mapa final'!$O$70),"")</f>
        <v/>
      </c>
      <c r="AA45" s="96" t="str">
        <f>IF(AND('[2]Mapa final'!$Y$71="Baja",'[2]Mapa final'!$AA$71="Moderado"),CONCATENATE("R10C",'[2]Mapa final'!$O$71),"")</f>
        <v/>
      </c>
      <c r="AB45" s="82" t="str">
        <f>IF(AND('[2]Mapa final'!$Y$66="Baja",'[2]Mapa final'!$AA$66="Mayor"),CONCATENATE("R10C",'[2]Mapa final'!$O$66),"")</f>
        <v/>
      </c>
      <c r="AC45" s="83" t="str">
        <f>IF(AND('[2]Mapa final'!$Y$67="Baja",'[2]Mapa final'!$AA$67="Mayor"),CONCATENATE("R10C",'[2]Mapa final'!$O$67),"")</f>
        <v/>
      </c>
      <c r="AD45" s="83" t="str">
        <f>IF(AND('[2]Mapa final'!$Y$68="Baja",'[2]Mapa final'!$AA$68="Mayor"),CONCATENATE("R10C",'[2]Mapa final'!$O$68),"")</f>
        <v/>
      </c>
      <c r="AE45" s="83" t="str">
        <f>IF(AND('[2]Mapa final'!$Y$69="Baja",'[2]Mapa final'!$AA$69="Mayor"),CONCATENATE("R10C",'[2]Mapa final'!$O$69),"")</f>
        <v/>
      </c>
      <c r="AF45" s="83" t="str">
        <f>IF(AND('[2]Mapa final'!$Y$70="Baja",'[2]Mapa final'!$AA$70="Mayor"),CONCATENATE("R10C",'[2]Mapa final'!$O$70),"")</f>
        <v/>
      </c>
      <c r="AG45" s="84" t="str">
        <f>IF(AND('[2]Mapa final'!$Y$71="Baja",'[2]Mapa final'!$AA$71="Mayor"),CONCATENATE("R10C",'[2]Mapa final'!$O$71),"")</f>
        <v/>
      </c>
      <c r="AH45" s="85" t="str">
        <f>IF(AND('[2]Mapa final'!$Y$66="Baja",'[2]Mapa final'!$AA$66="Catastrófico"),CONCATENATE("R10C",'[2]Mapa final'!$O$66),"")</f>
        <v/>
      </c>
      <c r="AI45" s="86" t="str">
        <f>IF(AND('[2]Mapa final'!$Y$67="Baja",'[2]Mapa final'!$AA$67="Catastrófico"),CONCATENATE("R10C",'[2]Mapa final'!$O$67),"")</f>
        <v/>
      </c>
      <c r="AJ45" s="86" t="str">
        <f>IF(AND('[2]Mapa final'!$Y$68="Baja",'[2]Mapa final'!$AA$68="Catastrófico"),CONCATENATE("R10C",'[2]Mapa final'!$O$68),"")</f>
        <v/>
      </c>
      <c r="AK45" s="86" t="str">
        <f>IF(AND('[2]Mapa final'!$Y$69="Baja",'[2]Mapa final'!$AA$69="Catastrófico"),CONCATENATE("R10C",'[2]Mapa final'!$O$69),"")</f>
        <v/>
      </c>
      <c r="AL45" s="86" t="str">
        <f>IF(AND('[2]Mapa final'!$Y$70="Baja",'[2]Mapa final'!$AA$70="Catastrófico"),CONCATENATE("R10C",'[2]Mapa final'!$O$70),"")</f>
        <v/>
      </c>
      <c r="AM45" s="87" t="str">
        <f>IF(AND('[2]Mapa final'!$Y$71="Baja",'[2]Mapa final'!$AA$71="Catastrófico"),CONCATENATE("R10C",'[2]Mapa final'!$O$71),"")</f>
        <v/>
      </c>
      <c r="AN45" s="68"/>
      <c r="AO45" s="442"/>
      <c r="AP45" s="443"/>
      <c r="AQ45" s="443"/>
      <c r="AR45" s="443"/>
      <c r="AS45" s="443"/>
      <c r="AT45" s="444"/>
    </row>
    <row r="46" spans="1:80" ht="46.5" customHeight="1">
      <c r="A46" s="68"/>
      <c r="B46" s="406"/>
      <c r="C46" s="406"/>
      <c r="D46" s="407"/>
      <c r="E46" s="393" t="s">
        <v>358</v>
      </c>
      <c r="F46" s="394"/>
      <c r="G46" s="394"/>
      <c r="H46" s="394"/>
      <c r="I46" s="395"/>
      <c r="J46" s="97" t="str">
        <f>IF(AND('[2]Mapa final'!$Y$12="Muy Baja",'[2]Mapa final'!$AA$12="Leve"),CONCATENATE("R1C",'[2]Mapa final'!$O$12),"")</f>
        <v/>
      </c>
      <c r="K46" s="98" t="str">
        <f>IF(AND('[2]Mapa final'!$Y$13="Muy Baja",'[2]Mapa final'!$AA$13="Leve"),CONCATENATE("R1C",'[2]Mapa final'!$O$13),"")</f>
        <v/>
      </c>
      <c r="L46" s="98" t="str">
        <f>IF(AND('[2]Mapa final'!$Y$14="Muy Baja",'[2]Mapa final'!$AA$14="Leve"),CONCATENATE("R1C",'[2]Mapa final'!$O$14),"")</f>
        <v/>
      </c>
      <c r="M46" s="98" t="str">
        <f>IF(AND('[2]Mapa final'!$Y$15="Muy Baja",'[2]Mapa final'!$AA$15="Leve"),CONCATENATE("R1C",'[2]Mapa final'!$O$15),"")</f>
        <v/>
      </c>
      <c r="N46" s="98" t="str">
        <f>IF(AND('[2]Mapa final'!$Y$16="Muy Baja",'[2]Mapa final'!$AA$16="Leve"),CONCATENATE("R1C",'[2]Mapa final'!$O$16),"")</f>
        <v/>
      </c>
      <c r="O46" s="99" t="str">
        <f>IF(AND('[2]Mapa final'!$Y$17="Muy Baja",'[2]Mapa final'!$AA$17="Leve"),CONCATENATE("R1C",'[2]Mapa final'!$O$17),"")</f>
        <v/>
      </c>
      <c r="P46" s="97" t="str">
        <f>IF(AND('[2]Mapa final'!$Y$12="Muy Baja",'[2]Mapa final'!$AA$12="Menor"),CONCATENATE("R1C",'[2]Mapa final'!$O$12),"")</f>
        <v/>
      </c>
      <c r="Q46" s="98" t="str">
        <f>IF(AND('[2]Mapa final'!$Y$13="Muy Baja",'[2]Mapa final'!$AA$13="Menor"),CONCATENATE("R1C",'[2]Mapa final'!$O$13),"")</f>
        <v/>
      </c>
      <c r="R46" s="98" t="str">
        <f>IF(AND('[2]Mapa final'!$Y$14="Muy Baja",'[2]Mapa final'!$AA$14="Menor"),CONCATENATE("R1C",'[2]Mapa final'!$O$14),"")</f>
        <v/>
      </c>
      <c r="S46" s="98" t="str">
        <f>IF(AND('[2]Mapa final'!$Y$15="Muy Baja",'[2]Mapa final'!$AA$15="Menor"),CONCATENATE("R1C",'[2]Mapa final'!$O$15),"")</f>
        <v/>
      </c>
      <c r="T46" s="98" t="str">
        <f>IF(AND('[2]Mapa final'!$Y$16="Muy Baja",'[2]Mapa final'!$AA$16="Menor"),CONCATENATE("R1C",'[2]Mapa final'!$O$16),"")</f>
        <v/>
      </c>
      <c r="U46" s="99" t="str">
        <f>IF(AND('[2]Mapa final'!$Y$17="Muy Baja",'[2]Mapa final'!$AA$17="Menor"),CONCATENATE("R1C",'[2]Mapa final'!$O$17),"")</f>
        <v/>
      </c>
      <c r="V46" s="88" t="str">
        <f>IF(AND('[2]Mapa final'!$Y$12="Muy Baja",'[2]Mapa final'!$AA$12="Moderado"),CONCATENATE("R1C",'[2]Mapa final'!$O$12),"")</f>
        <v/>
      </c>
      <c r="W46" s="106" t="str">
        <f>IF(AND('[2]Mapa final'!$Y$13="Muy Baja",'[2]Mapa final'!$AA$13="Moderado"),CONCATENATE("R1C",'[2]Mapa final'!$O$13),"")</f>
        <v/>
      </c>
      <c r="X46" s="89" t="str">
        <f>IF(AND('[2]Mapa final'!$Y$14="Muy Baja",'[2]Mapa final'!$AA$14="Moderado"),CONCATENATE("R1C",'[2]Mapa final'!$O$14),"")</f>
        <v/>
      </c>
      <c r="Y46" s="89" t="str">
        <f>IF(AND('[2]Mapa final'!$Y$15="Muy Baja",'[2]Mapa final'!$AA$15="Moderado"),CONCATENATE("R1C",'[2]Mapa final'!$O$15),"")</f>
        <v/>
      </c>
      <c r="Z46" s="89" t="str">
        <f>IF(AND('[2]Mapa final'!$Y$16="Muy Baja",'[2]Mapa final'!$AA$16="Moderado"),CONCATENATE("R1C",'[2]Mapa final'!$O$16),"")</f>
        <v/>
      </c>
      <c r="AA46" s="90" t="str">
        <f>IF(AND('[2]Mapa final'!$Y$17="Muy Baja",'[2]Mapa final'!$AA$17="Moderado"),CONCATENATE("R1C",'[2]Mapa final'!$O$17),"")</f>
        <v/>
      </c>
      <c r="AB46" s="70" t="str">
        <f>IF(AND('[2]Mapa final'!$Y$12="Muy Baja",'[2]Mapa final'!$AA$12="Mayor"),CONCATENATE("R1C",'[2]Mapa final'!$O$12),"")</f>
        <v/>
      </c>
      <c r="AC46" s="71" t="str">
        <f>IF(AND('[2]Mapa final'!$Y$13="Muy Baja",'[2]Mapa final'!$AA$13="Mayor"),CONCATENATE("R1C",'[2]Mapa final'!$O$13),"")</f>
        <v/>
      </c>
      <c r="AD46" s="71" t="str">
        <f>IF(AND('[2]Mapa final'!$Y$14="Muy Baja",'[2]Mapa final'!$AA$14="Mayor"),CONCATENATE("R1C",'[2]Mapa final'!$O$14),"")</f>
        <v/>
      </c>
      <c r="AE46" s="71" t="str">
        <f>IF(AND('[2]Mapa final'!$Y$15="Muy Baja",'[2]Mapa final'!$AA$15="Mayor"),CONCATENATE("R1C",'[2]Mapa final'!$O$15),"")</f>
        <v/>
      </c>
      <c r="AF46" s="71" t="str">
        <f>IF(AND('[2]Mapa final'!$Y$16="Muy Baja",'[2]Mapa final'!$AA$16="Mayor"),CONCATENATE("R1C",'[2]Mapa final'!$O$16),"")</f>
        <v/>
      </c>
      <c r="AG46" s="72" t="str">
        <f>IF(AND('[2]Mapa final'!$Y$17="Muy Baja",'[2]Mapa final'!$AA$17="Mayor"),CONCATENATE("R1C",'[2]Mapa final'!$O$17),"")</f>
        <v/>
      </c>
      <c r="AH46" s="73" t="str">
        <f>IF(AND('[2]Mapa final'!$Y$12="Muy Baja",'[2]Mapa final'!$AA$12="Catastrófico"),CONCATENATE("R1C",'[2]Mapa final'!$O$12),"")</f>
        <v/>
      </c>
      <c r="AI46" s="74" t="str">
        <f>IF(AND('[2]Mapa final'!$Y$13="Muy Baja",'[2]Mapa final'!$AA$13="Catastrófico"),CONCATENATE("R1C",'[2]Mapa final'!$O$13),"")</f>
        <v/>
      </c>
      <c r="AJ46" s="74" t="str">
        <f>IF(AND('[2]Mapa final'!$Y$14="Muy Baja",'[2]Mapa final'!$AA$14="Catastrófico"),CONCATENATE("R1C",'[2]Mapa final'!$O$14),"")</f>
        <v/>
      </c>
      <c r="AK46" s="74" t="str">
        <f>IF(AND('[2]Mapa final'!$Y$15="Muy Baja",'[2]Mapa final'!$AA$15="Catastrófico"),CONCATENATE("R1C",'[2]Mapa final'!$O$15),"")</f>
        <v/>
      </c>
      <c r="AL46" s="74" t="str">
        <f>IF(AND('[2]Mapa final'!$Y$16="Muy Baja",'[2]Mapa final'!$AA$16="Catastrófico"),CONCATENATE("R1C",'[2]Mapa final'!$O$16),"")</f>
        <v/>
      </c>
      <c r="AM46" s="75" t="str">
        <f>IF(AND('[2]Mapa final'!$Y$17="Muy Baja",'[2]Mapa final'!$AA$17="Catastrófico"),CONCATENATE("R1C",'[2]Mapa final'!$O$17),"")</f>
        <v/>
      </c>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row>
    <row r="47" spans="1:80" ht="46.5" customHeight="1">
      <c r="A47" s="68"/>
      <c r="B47" s="406"/>
      <c r="C47" s="406"/>
      <c r="D47" s="407"/>
      <c r="E47" s="417"/>
      <c r="F47" s="397"/>
      <c r="G47" s="397"/>
      <c r="H47" s="397"/>
      <c r="I47" s="398"/>
      <c r="J47" s="100" t="str">
        <f>IF(AND('[2]Mapa final'!$Y$18="Muy Baja",'[2]Mapa final'!$AA$18="Leve"),CONCATENATE("R2C",'[2]Mapa final'!$O$18),"")</f>
        <v/>
      </c>
      <c r="K47" s="101" t="str">
        <f>IF(AND('[2]Mapa final'!$Y$19="Muy Baja",'[2]Mapa final'!$AA$19="Leve"),CONCATENATE("R2C",'[2]Mapa final'!$O$19),"")</f>
        <v/>
      </c>
      <c r="L47" s="101" t="str">
        <f>IF(AND('[2]Mapa final'!$Y$20="Muy Baja",'[2]Mapa final'!$AA$20="Leve"),CONCATENATE("R2C",'[2]Mapa final'!$O$20),"")</f>
        <v/>
      </c>
      <c r="M47" s="101" t="str">
        <f>IF(AND('[2]Mapa final'!$Y$21="Muy Baja",'[2]Mapa final'!$AA$21="Leve"),CONCATENATE("R2C",'[2]Mapa final'!$O$21),"")</f>
        <v/>
      </c>
      <c r="N47" s="101" t="str">
        <f>IF(AND('[2]Mapa final'!$Y$22="Muy Baja",'[2]Mapa final'!$AA$22="Leve"),CONCATENATE("R2C",'[2]Mapa final'!$O$22),"")</f>
        <v/>
      </c>
      <c r="O47" s="102" t="str">
        <f>IF(AND('[2]Mapa final'!$Y$23="Muy Baja",'[2]Mapa final'!$AA$23="Leve"),CONCATENATE("R2C",'[2]Mapa final'!$O$23),"")</f>
        <v/>
      </c>
      <c r="P47" s="100" t="str">
        <f>IF(AND('[2]Mapa final'!$Y$18="Muy Baja",'[2]Mapa final'!$AA$18="Menor"),CONCATENATE("R2C",'[2]Mapa final'!$O$18),"")</f>
        <v/>
      </c>
      <c r="Q47" s="101" t="str">
        <f>IF(AND('[2]Mapa final'!$Y$19="Muy Baja",'[2]Mapa final'!$AA$19="Menor"),CONCATENATE("R2C",'[2]Mapa final'!$O$19),"")</f>
        <v/>
      </c>
      <c r="R47" s="101" t="str">
        <f>IF(AND('[2]Mapa final'!$Y$20="Muy Baja",'[2]Mapa final'!$AA$20="Menor"),CONCATENATE("R2C",'[2]Mapa final'!$O$20),"")</f>
        <v/>
      </c>
      <c r="S47" s="101" t="str">
        <f>IF(AND('[2]Mapa final'!$Y$21="Muy Baja",'[2]Mapa final'!$AA$21="Menor"),CONCATENATE("R2C",'[2]Mapa final'!$O$21),"")</f>
        <v/>
      </c>
      <c r="T47" s="101" t="str">
        <f>IF(AND('[2]Mapa final'!$Y$22="Muy Baja",'[2]Mapa final'!$AA$22="Menor"),CONCATENATE("R2C",'[2]Mapa final'!$O$22),"")</f>
        <v/>
      </c>
      <c r="U47" s="102" t="str">
        <f>IF(AND('[2]Mapa final'!$Y$23="Muy Baja",'[2]Mapa final'!$AA$23="Menor"),CONCATENATE("R2C",'[2]Mapa final'!$O$23),"")</f>
        <v/>
      </c>
      <c r="V47" s="91" t="str">
        <f>IF(AND('[2]Mapa final'!$Y$18="Muy Baja",'[2]Mapa final'!$AA$18="Moderado"),CONCATENATE("R2C",'[2]Mapa final'!$O$18),"")</f>
        <v/>
      </c>
      <c r="W47" s="92" t="str">
        <f>IF(AND('[2]Mapa final'!$Y$19="Muy Baja",'[2]Mapa final'!$AA$19="Moderado"),CONCATENATE("R2C",'[2]Mapa final'!$O$19),"")</f>
        <v/>
      </c>
      <c r="X47" s="92" t="str">
        <f>IF(AND('[2]Mapa final'!$Y$20="Muy Baja",'[2]Mapa final'!$AA$20="Moderado"),CONCATENATE("R2C",'[2]Mapa final'!$O$20),"")</f>
        <v/>
      </c>
      <c r="Y47" s="92" t="str">
        <f>IF(AND('[2]Mapa final'!$Y$21="Muy Baja",'[2]Mapa final'!$AA$21="Moderado"),CONCATENATE("R2C",'[2]Mapa final'!$O$21),"")</f>
        <v/>
      </c>
      <c r="Z47" s="92" t="str">
        <f>IF(AND('[2]Mapa final'!$Y$22="Muy Baja",'[2]Mapa final'!$AA$22="Moderado"),CONCATENATE("R2C",'[2]Mapa final'!$O$22),"")</f>
        <v/>
      </c>
      <c r="AA47" s="93" t="str">
        <f>IF(AND('[2]Mapa final'!$Y$23="Muy Baja",'[2]Mapa final'!$AA$23="Moderado"),CONCATENATE("R2C",'[2]Mapa final'!$O$23),"")</f>
        <v/>
      </c>
      <c r="AB47" s="76" t="str">
        <f>IF(AND('[2]Mapa final'!$Y$18="Muy Baja",'[2]Mapa final'!$AA$18="Mayor"),CONCATENATE("R2C",'[2]Mapa final'!$O$18),"")</f>
        <v/>
      </c>
      <c r="AC47" s="77" t="str">
        <f>IF(AND('[2]Mapa final'!$Y$19="Muy Baja",'[2]Mapa final'!$AA$19="Mayor"),CONCATENATE("R2C",'[2]Mapa final'!$O$19),"")</f>
        <v/>
      </c>
      <c r="AD47" s="77" t="str">
        <f>IF(AND('[2]Mapa final'!$Y$20="Muy Baja",'[2]Mapa final'!$AA$20="Mayor"),CONCATENATE("R2C",'[2]Mapa final'!$O$20),"")</f>
        <v/>
      </c>
      <c r="AE47" s="77" t="str">
        <f>IF(AND('[2]Mapa final'!$Y$21="Muy Baja",'[2]Mapa final'!$AA$21="Mayor"),CONCATENATE("R2C",'[2]Mapa final'!$O$21),"")</f>
        <v/>
      </c>
      <c r="AF47" s="77" t="str">
        <f>IF(AND('[2]Mapa final'!$Y$22="Muy Baja",'[2]Mapa final'!$AA$22="Mayor"),CONCATENATE("R2C",'[2]Mapa final'!$O$22),"")</f>
        <v/>
      </c>
      <c r="AG47" s="78" t="str">
        <f>IF(AND('[2]Mapa final'!$Y$23="Muy Baja",'[2]Mapa final'!$AA$23="Mayor"),CONCATENATE("R2C",'[2]Mapa final'!$O$23),"")</f>
        <v/>
      </c>
      <c r="AH47" s="79" t="str">
        <f>IF(AND('[2]Mapa final'!$Y$18="Muy Baja",'[2]Mapa final'!$AA$18="Catastrófico"),CONCATENATE("R2C",'[2]Mapa final'!$O$18),"")</f>
        <v/>
      </c>
      <c r="AI47" s="80" t="str">
        <f>IF(AND('[2]Mapa final'!$Y$19="Muy Baja",'[2]Mapa final'!$AA$19="Catastrófico"),CONCATENATE("R2C",'[2]Mapa final'!$O$19),"")</f>
        <v/>
      </c>
      <c r="AJ47" s="80" t="str">
        <f>IF(AND('[2]Mapa final'!$Y$20="Muy Baja",'[2]Mapa final'!$AA$20="Catastrófico"),CONCATENATE("R2C",'[2]Mapa final'!$O$20),"")</f>
        <v/>
      </c>
      <c r="AK47" s="80" t="str">
        <f>IF(AND('[2]Mapa final'!$Y$21="Muy Baja",'[2]Mapa final'!$AA$21="Catastrófico"),CONCATENATE("R2C",'[2]Mapa final'!$O$21),"")</f>
        <v/>
      </c>
      <c r="AL47" s="80" t="str">
        <f>IF(AND('[2]Mapa final'!$Y$22="Muy Baja",'[2]Mapa final'!$AA$22="Catastrófico"),CONCATENATE("R2C",'[2]Mapa final'!$O$22),"")</f>
        <v/>
      </c>
      <c r="AM47" s="81" t="str">
        <f>IF(AND('[2]Mapa final'!$Y$23="Muy Baja",'[2]Mapa final'!$AA$23="Catastrófico"),CONCATENATE("R2C",'[2]Mapa final'!$O$23),"")</f>
        <v/>
      </c>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row>
    <row r="48" spans="1:80" ht="15" customHeight="1">
      <c r="A48" s="68"/>
      <c r="B48" s="406"/>
      <c r="C48" s="406"/>
      <c r="D48" s="407"/>
      <c r="E48" s="417"/>
      <c r="F48" s="397"/>
      <c r="G48" s="397"/>
      <c r="H48" s="397"/>
      <c r="I48" s="398"/>
      <c r="J48" s="100" t="str">
        <f>IF(AND('[2]Mapa final'!$Y$24="Muy Baja",'[2]Mapa final'!$AA$24="Leve"),CONCATENATE("R3C",'[2]Mapa final'!$O$24),"")</f>
        <v>R3C1</v>
      </c>
      <c r="K48" s="101" t="str">
        <f>IF(AND('[2]Mapa final'!$Y$25="Muy Baja",'[2]Mapa final'!$AA$25="Leve"),CONCATENATE("R3C",'[2]Mapa final'!$O$25),"")</f>
        <v/>
      </c>
      <c r="L48" s="101" t="str">
        <f>IF(AND('[2]Mapa final'!$Y$26="Muy Baja",'[2]Mapa final'!$AA$26="Leve"),CONCATENATE("R3C",'[2]Mapa final'!$O$26),"")</f>
        <v/>
      </c>
      <c r="M48" s="101" t="str">
        <f>IF(AND('[2]Mapa final'!$Y$27="Muy Baja",'[2]Mapa final'!$AA$27="Leve"),CONCATENATE("R3C",'[2]Mapa final'!$O$27),"")</f>
        <v/>
      </c>
      <c r="N48" s="101" t="str">
        <f>IF(AND('[2]Mapa final'!$Y$28="Muy Baja",'[2]Mapa final'!$AA$28="Leve"),CONCATENATE("R3C",'[2]Mapa final'!$O$28),"")</f>
        <v/>
      </c>
      <c r="O48" s="102" t="str">
        <f>IF(AND('[2]Mapa final'!$Y$29="Muy Baja",'[2]Mapa final'!$AA$29="Leve"),CONCATENATE("R3C",'[2]Mapa final'!$O$29),"")</f>
        <v/>
      </c>
      <c r="P48" s="100" t="str">
        <f>IF(AND('[2]Mapa final'!$Y$24="Muy Baja",'[2]Mapa final'!$AA$24="Menor"),CONCATENATE("R3C",'[2]Mapa final'!$O$24),"")</f>
        <v/>
      </c>
      <c r="Q48" s="101" t="str">
        <f>IF(AND('[2]Mapa final'!$Y$25="Muy Baja",'[2]Mapa final'!$AA$25="Menor"),CONCATENATE("R3C",'[2]Mapa final'!$O$25),"")</f>
        <v/>
      </c>
      <c r="R48" s="101" t="str">
        <f>IF(AND('[2]Mapa final'!$Y$26="Muy Baja",'[2]Mapa final'!$AA$26="Menor"),CONCATENATE("R3C",'[2]Mapa final'!$O$26),"")</f>
        <v/>
      </c>
      <c r="S48" s="101" t="str">
        <f>IF(AND('[2]Mapa final'!$Y$27="Muy Baja",'[2]Mapa final'!$AA$27="Menor"),CONCATENATE("R3C",'[2]Mapa final'!$O$27),"")</f>
        <v/>
      </c>
      <c r="T48" s="101" t="str">
        <f>IF(AND('[2]Mapa final'!$Y$28="Muy Baja",'[2]Mapa final'!$AA$28="Menor"),CONCATENATE("R3C",'[2]Mapa final'!$O$28),"")</f>
        <v/>
      </c>
      <c r="U48" s="102" t="str">
        <f>IF(AND('[2]Mapa final'!$Y$29="Muy Baja",'[2]Mapa final'!$AA$29="Menor"),CONCATENATE("R3C",'[2]Mapa final'!$O$29),"")</f>
        <v/>
      </c>
      <c r="V48" s="91" t="str">
        <f>IF(AND('[2]Mapa final'!$Y$24="Muy Baja",'[2]Mapa final'!$AA$24="Moderado"),CONCATENATE("R3C",'[2]Mapa final'!$O$24),"")</f>
        <v/>
      </c>
      <c r="W48" s="92" t="str">
        <f>IF(AND('[2]Mapa final'!$Y$25="Muy Baja",'[2]Mapa final'!$AA$25="Moderado"),CONCATENATE("R3C",'[2]Mapa final'!$O$25),"")</f>
        <v/>
      </c>
      <c r="X48" s="92" t="str">
        <f>IF(AND('[2]Mapa final'!$Y$26="Muy Baja",'[2]Mapa final'!$AA$26="Moderado"),CONCATENATE("R3C",'[2]Mapa final'!$O$26),"")</f>
        <v/>
      </c>
      <c r="Y48" s="92" t="str">
        <f>IF(AND('[2]Mapa final'!$Y$27="Muy Baja",'[2]Mapa final'!$AA$27="Moderado"),CONCATENATE("R3C",'[2]Mapa final'!$O$27),"")</f>
        <v/>
      </c>
      <c r="Z48" s="92" t="str">
        <f>IF(AND('[2]Mapa final'!$Y$28="Muy Baja",'[2]Mapa final'!$AA$28="Moderado"),CONCATENATE("R3C",'[2]Mapa final'!$O$28),"")</f>
        <v/>
      </c>
      <c r="AA48" s="93" t="str">
        <f>IF(AND('[2]Mapa final'!$Y$29="Muy Baja",'[2]Mapa final'!$AA$29="Moderado"),CONCATENATE("R3C",'[2]Mapa final'!$O$29),"")</f>
        <v/>
      </c>
      <c r="AB48" s="76" t="str">
        <f>IF(AND('[2]Mapa final'!$Y$24="Muy Baja",'[2]Mapa final'!$AA$24="Mayor"),CONCATENATE("R3C",'[2]Mapa final'!$O$24),"")</f>
        <v/>
      </c>
      <c r="AC48" s="77" t="str">
        <f>IF(AND('[2]Mapa final'!$Y$25="Muy Baja",'[2]Mapa final'!$AA$25="Mayor"),CONCATENATE("R3C",'[2]Mapa final'!$O$25),"")</f>
        <v/>
      </c>
      <c r="AD48" s="77" t="str">
        <f>IF(AND('[2]Mapa final'!$Y$26="Muy Baja",'[2]Mapa final'!$AA$26="Mayor"),CONCATENATE("R3C",'[2]Mapa final'!$O$26),"")</f>
        <v/>
      </c>
      <c r="AE48" s="77" t="str">
        <f>IF(AND('[2]Mapa final'!$Y$27="Muy Baja",'[2]Mapa final'!$AA$27="Mayor"),CONCATENATE("R3C",'[2]Mapa final'!$O$27),"")</f>
        <v/>
      </c>
      <c r="AF48" s="77" t="str">
        <f>IF(AND('[2]Mapa final'!$Y$28="Muy Baja",'[2]Mapa final'!$AA$28="Mayor"),CONCATENATE("R3C",'[2]Mapa final'!$O$28),"")</f>
        <v/>
      </c>
      <c r="AG48" s="78" t="str">
        <f>IF(AND('[2]Mapa final'!$Y$29="Muy Baja",'[2]Mapa final'!$AA$29="Mayor"),CONCATENATE("R3C",'[2]Mapa final'!$O$29),"")</f>
        <v/>
      </c>
      <c r="AH48" s="79" t="str">
        <f>IF(AND('[2]Mapa final'!$Y$24="Muy Baja",'[2]Mapa final'!$AA$24="Catastrófico"),CONCATENATE("R3C",'[2]Mapa final'!$O$24),"")</f>
        <v/>
      </c>
      <c r="AI48" s="80" t="str">
        <f>IF(AND('[2]Mapa final'!$Y$25="Muy Baja",'[2]Mapa final'!$AA$25="Catastrófico"),CONCATENATE("R3C",'[2]Mapa final'!$O$25),"")</f>
        <v/>
      </c>
      <c r="AJ48" s="80" t="str">
        <f>IF(AND('[2]Mapa final'!$Y$26="Muy Baja",'[2]Mapa final'!$AA$26="Catastrófico"),CONCATENATE("R3C",'[2]Mapa final'!$O$26),"")</f>
        <v/>
      </c>
      <c r="AK48" s="80" t="str">
        <f>IF(AND('[2]Mapa final'!$Y$27="Muy Baja",'[2]Mapa final'!$AA$27="Catastrófico"),CONCATENATE("R3C",'[2]Mapa final'!$O$27),"")</f>
        <v/>
      </c>
      <c r="AL48" s="80" t="str">
        <f>IF(AND('[2]Mapa final'!$Y$28="Muy Baja",'[2]Mapa final'!$AA$28="Catastrófico"),CONCATENATE("R3C",'[2]Mapa final'!$O$28),"")</f>
        <v/>
      </c>
      <c r="AM48" s="81" t="str">
        <f>IF(AND('[2]Mapa final'!$Y$29="Muy Baja",'[2]Mapa final'!$AA$29="Catastrófico"),CONCATENATE("R3C",'[2]Mapa final'!$O$29),"")</f>
        <v/>
      </c>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row>
    <row r="49" spans="1:80" ht="15" customHeight="1">
      <c r="A49" s="68"/>
      <c r="B49" s="406"/>
      <c r="C49" s="406"/>
      <c r="D49" s="407"/>
      <c r="E49" s="396"/>
      <c r="F49" s="397"/>
      <c r="G49" s="397"/>
      <c r="H49" s="397"/>
      <c r="I49" s="398"/>
      <c r="J49" s="100" t="e">
        <f>IF(AND('[2]Mapa final'!$Y$30="Muy Baja",'[2]Mapa final'!$AA$30="Leve"),CONCATENATE("R4C",'[2]Mapa final'!$O$30),"")</f>
        <v>#REF!</v>
      </c>
      <c r="K49" s="101" t="str">
        <f>IF(AND('[2]Mapa final'!$Y$31="Muy Baja",'[2]Mapa final'!$AA$31="Leve"),CONCATENATE("R4C",'[2]Mapa final'!$O$31),"")</f>
        <v/>
      </c>
      <c r="L49" s="101" t="str">
        <f>IF(AND('[2]Mapa final'!$Y$32="Muy Baja",'[2]Mapa final'!$AA$32="Leve"),CONCATENATE("R4C",'[2]Mapa final'!$O$32),"")</f>
        <v/>
      </c>
      <c r="M49" s="101" t="str">
        <f>IF(AND('[2]Mapa final'!$Y$33="Muy Baja",'[2]Mapa final'!$AA$33="Leve"),CONCATENATE("R4C",'[2]Mapa final'!$O$33),"")</f>
        <v/>
      </c>
      <c r="N49" s="101" t="str">
        <f>IF(AND('[2]Mapa final'!$Y$34="Muy Baja",'[2]Mapa final'!$AA$34="Leve"),CONCATENATE("R4C",'[2]Mapa final'!$O$34),"")</f>
        <v/>
      </c>
      <c r="O49" s="102" t="str">
        <f>IF(AND('[2]Mapa final'!$Y$35="Muy Baja",'[2]Mapa final'!$AA$35="Leve"),CONCATENATE("R4C",'[2]Mapa final'!$O$35),"")</f>
        <v/>
      </c>
      <c r="P49" s="100" t="e">
        <f>IF(AND('[2]Mapa final'!$Y$30="Muy Baja",'[2]Mapa final'!$AA$30="Menor"),CONCATENATE("R4C",'[2]Mapa final'!$O$30),"")</f>
        <v>#REF!</v>
      </c>
      <c r="Q49" s="101" t="str">
        <f>IF(AND('[2]Mapa final'!$Y$31="Muy Baja",'[2]Mapa final'!$AA$31="Menor"),CONCATENATE("R4C",'[2]Mapa final'!$O$31),"")</f>
        <v/>
      </c>
      <c r="R49" s="101" t="str">
        <f>IF(AND('[2]Mapa final'!$Y$32="Muy Baja",'[2]Mapa final'!$AA$32="Menor"),CONCATENATE("R4C",'[2]Mapa final'!$O$32),"")</f>
        <v/>
      </c>
      <c r="S49" s="101" t="str">
        <f>IF(AND('[2]Mapa final'!$Y$33="Muy Baja",'[2]Mapa final'!$AA$33="Menor"),CONCATENATE("R4C",'[2]Mapa final'!$O$33),"")</f>
        <v/>
      </c>
      <c r="T49" s="101" t="str">
        <f>IF(AND('[2]Mapa final'!$Y$34="Muy Baja",'[2]Mapa final'!$AA$34="Menor"),CONCATENATE("R4C",'[2]Mapa final'!$O$34),"")</f>
        <v/>
      </c>
      <c r="U49" s="102" t="str">
        <f>IF(AND('[2]Mapa final'!$Y$35="Muy Baja",'[2]Mapa final'!$AA$35="Menor"),CONCATENATE("R4C",'[2]Mapa final'!$O$35),"")</f>
        <v/>
      </c>
      <c r="V49" s="91" t="e">
        <f>IF(AND('[2]Mapa final'!$Y$30="Muy Baja",'[2]Mapa final'!$AA$30="Moderado"),CONCATENATE("R4C",'[2]Mapa final'!$O$30),"")</f>
        <v>#REF!</v>
      </c>
      <c r="W49" s="92" t="str">
        <f>IF(AND('[2]Mapa final'!$Y$31="Muy Baja",'[2]Mapa final'!$AA$31="Moderado"),CONCATENATE("R4C",'[2]Mapa final'!$O$31),"")</f>
        <v/>
      </c>
      <c r="X49" s="92" t="str">
        <f>IF(AND('[2]Mapa final'!$Y$32="Muy Baja",'[2]Mapa final'!$AA$32="Moderado"),CONCATENATE("R4C",'[2]Mapa final'!$O$32),"")</f>
        <v/>
      </c>
      <c r="Y49" s="92" t="str">
        <f>IF(AND('[2]Mapa final'!$Y$33="Muy Baja",'[2]Mapa final'!$AA$33="Moderado"),CONCATENATE("R4C",'[2]Mapa final'!$O$33),"")</f>
        <v/>
      </c>
      <c r="Z49" s="92" t="str">
        <f>IF(AND('[2]Mapa final'!$Y$34="Muy Baja",'[2]Mapa final'!$AA$34="Moderado"),CONCATENATE("R4C",'[2]Mapa final'!$O$34),"")</f>
        <v/>
      </c>
      <c r="AA49" s="93" t="str">
        <f>IF(AND('[2]Mapa final'!$Y$35="Muy Baja",'[2]Mapa final'!$AA$35="Moderado"),CONCATENATE("R4C",'[2]Mapa final'!$O$35),"")</f>
        <v/>
      </c>
      <c r="AB49" s="76" t="e">
        <f>IF(AND('[2]Mapa final'!$Y$30="Muy Baja",'[2]Mapa final'!$AA$30="Mayor"),CONCATENATE("R4C",'[2]Mapa final'!$O$30),"")</f>
        <v>#REF!</v>
      </c>
      <c r="AC49" s="77" t="str">
        <f>IF(AND('[2]Mapa final'!$Y$31="Muy Baja",'[2]Mapa final'!$AA$31="Mayor"),CONCATENATE("R4C",'[2]Mapa final'!$O$31),"")</f>
        <v/>
      </c>
      <c r="AD49" s="77" t="str">
        <f>IF(AND('[2]Mapa final'!$Y$32="Muy Baja",'[2]Mapa final'!$AA$32="Mayor"),CONCATENATE("R4C",'[2]Mapa final'!$O$32),"")</f>
        <v/>
      </c>
      <c r="AE49" s="77" t="str">
        <f>IF(AND('[2]Mapa final'!$Y$33="Muy Baja",'[2]Mapa final'!$AA$33="Mayor"),CONCATENATE("R4C",'[2]Mapa final'!$O$33),"")</f>
        <v/>
      </c>
      <c r="AF49" s="77" t="str">
        <f>IF(AND('[2]Mapa final'!$Y$34="Muy Baja",'[2]Mapa final'!$AA$34="Mayor"),CONCATENATE("R4C",'[2]Mapa final'!$O$34),"")</f>
        <v/>
      </c>
      <c r="AG49" s="78" t="str">
        <f>IF(AND('[2]Mapa final'!$Y$35="Muy Baja",'[2]Mapa final'!$AA$35="Mayor"),CONCATENATE("R4C",'[2]Mapa final'!$O$35),"")</f>
        <v/>
      </c>
      <c r="AH49" s="79" t="e">
        <f>IF(AND('[2]Mapa final'!$Y$30="Muy Baja",'[2]Mapa final'!$AA$30="Catastrófico"),CONCATENATE("R4C",'[2]Mapa final'!$O$30),"")</f>
        <v>#REF!</v>
      </c>
      <c r="AI49" s="80" t="str">
        <f>IF(AND('[2]Mapa final'!$Y$31="Muy Baja",'[2]Mapa final'!$AA$31="Catastrófico"),CONCATENATE("R4C",'[2]Mapa final'!$O$31),"")</f>
        <v/>
      </c>
      <c r="AJ49" s="80" t="str">
        <f>IF(AND('[2]Mapa final'!$Y$32="Muy Baja",'[2]Mapa final'!$AA$32="Catastrófico"),CONCATENATE("R4C",'[2]Mapa final'!$O$32),"")</f>
        <v/>
      </c>
      <c r="AK49" s="80" t="str">
        <f>IF(AND('[2]Mapa final'!$Y$33="Muy Baja",'[2]Mapa final'!$AA$33="Catastrófico"),CONCATENATE("R4C",'[2]Mapa final'!$O$33),"")</f>
        <v/>
      </c>
      <c r="AL49" s="80" t="str">
        <f>IF(AND('[2]Mapa final'!$Y$34="Muy Baja",'[2]Mapa final'!$AA$34="Catastrófico"),CONCATENATE("R4C",'[2]Mapa final'!$O$34),"")</f>
        <v/>
      </c>
      <c r="AM49" s="81" t="str">
        <f>IF(AND('[2]Mapa final'!$Y$35="Muy Baja",'[2]Mapa final'!$AA$35="Catastrófico"),CONCATENATE("R4C",'[2]Mapa final'!$O$35),"")</f>
        <v/>
      </c>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row>
    <row r="50" spans="1:80" ht="15" customHeight="1">
      <c r="A50" s="68"/>
      <c r="B50" s="406"/>
      <c r="C50" s="406"/>
      <c r="D50" s="407"/>
      <c r="E50" s="396"/>
      <c r="F50" s="397"/>
      <c r="G50" s="397"/>
      <c r="H50" s="397"/>
      <c r="I50" s="398"/>
      <c r="J50" s="100" t="str">
        <f>IF(AND('[2]Mapa final'!$Y$36="Muy Baja",'[2]Mapa final'!$AA$36="Leve"),CONCATENATE("R5C",'[2]Mapa final'!$O$36),"")</f>
        <v/>
      </c>
      <c r="K50" s="101" t="str">
        <f>IF(AND('[2]Mapa final'!$Y$37="Muy Baja",'[2]Mapa final'!$AA$37="Leve"),CONCATENATE("R5C",'[2]Mapa final'!$O$37),"")</f>
        <v/>
      </c>
      <c r="L50" s="101" t="str">
        <f>IF(AND('[2]Mapa final'!$Y$38="Muy Baja",'[2]Mapa final'!$AA$38="Leve"),CONCATENATE("R5C",'[2]Mapa final'!$O$38),"")</f>
        <v/>
      </c>
      <c r="M50" s="101" t="str">
        <f>IF(AND('[2]Mapa final'!$Y$39="Muy Baja",'[2]Mapa final'!$AA$39="Leve"),CONCATENATE("R5C",'[2]Mapa final'!$O$39),"")</f>
        <v/>
      </c>
      <c r="N50" s="101" t="str">
        <f>IF(AND('[2]Mapa final'!$Y$40="Muy Baja",'[2]Mapa final'!$AA$40="Leve"),CONCATENATE("R5C",'[2]Mapa final'!$O$40),"")</f>
        <v/>
      </c>
      <c r="O50" s="102" t="str">
        <f>IF(AND('[2]Mapa final'!$Y$41="Muy Baja",'[2]Mapa final'!$AA$41="Leve"),CONCATENATE("R5C",'[2]Mapa final'!$O$41),"")</f>
        <v/>
      </c>
      <c r="P50" s="100" t="str">
        <f>IF(AND('[2]Mapa final'!$Y$36="Muy Baja",'[2]Mapa final'!$AA$36="Menor"),CONCATENATE("R5C",'[2]Mapa final'!$O$36),"")</f>
        <v/>
      </c>
      <c r="Q50" s="101" t="str">
        <f>IF(AND('[2]Mapa final'!$Y$37="Muy Baja",'[2]Mapa final'!$AA$37="Menor"),CONCATENATE("R5C",'[2]Mapa final'!$O$37),"")</f>
        <v/>
      </c>
      <c r="R50" s="101" t="str">
        <f>IF(AND('[2]Mapa final'!$Y$38="Muy Baja",'[2]Mapa final'!$AA$38="Menor"),CONCATENATE("R5C",'[2]Mapa final'!$O$38),"")</f>
        <v/>
      </c>
      <c r="S50" s="101" t="str">
        <f>IF(AND('[2]Mapa final'!$Y$39="Muy Baja",'[2]Mapa final'!$AA$39="Menor"),CONCATENATE("R5C",'[2]Mapa final'!$O$39),"")</f>
        <v/>
      </c>
      <c r="T50" s="101" t="str">
        <f>IF(AND('[2]Mapa final'!$Y$40="Muy Baja",'[2]Mapa final'!$AA$40="Menor"),CONCATENATE("R5C",'[2]Mapa final'!$O$40),"")</f>
        <v/>
      </c>
      <c r="U50" s="102" t="str">
        <f>IF(AND('[2]Mapa final'!$Y$41="Muy Baja",'[2]Mapa final'!$AA$41="Menor"),CONCATENATE("R5C",'[2]Mapa final'!$O$41),"")</f>
        <v/>
      </c>
      <c r="V50" s="91" t="str">
        <f>IF(AND('[2]Mapa final'!$Y$36="Muy Baja",'[2]Mapa final'!$AA$36="Moderado"),CONCATENATE("R5C",'[2]Mapa final'!$O$36),"")</f>
        <v/>
      </c>
      <c r="W50" s="92" t="str">
        <f>IF(AND('[2]Mapa final'!$Y$37="Muy Baja",'[2]Mapa final'!$AA$37="Moderado"),CONCATENATE("R5C",'[2]Mapa final'!$O$37),"")</f>
        <v/>
      </c>
      <c r="X50" s="92" t="str">
        <f>IF(AND('[2]Mapa final'!$Y$38="Muy Baja",'[2]Mapa final'!$AA$38="Moderado"),CONCATENATE("R5C",'[2]Mapa final'!$O$38),"")</f>
        <v/>
      </c>
      <c r="Y50" s="92" t="str">
        <f>IF(AND('[2]Mapa final'!$Y$39="Muy Baja",'[2]Mapa final'!$AA$39="Moderado"),CONCATENATE("R5C",'[2]Mapa final'!$O$39),"")</f>
        <v/>
      </c>
      <c r="Z50" s="92" t="str">
        <f>IF(AND('[2]Mapa final'!$Y$40="Muy Baja",'[2]Mapa final'!$AA$40="Moderado"),CONCATENATE("R5C",'[2]Mapa final'!$O$40),"")</f>
        <v/>
      </c>
      <c r="AA50" s="93" t="str">
        <f>IF(AND('[2]Mapa final'!$Y$41="Muy Baja",'[2]Mapa final'!$AA$41="Moderado"),CONCATENATE("R5C",'[2]Mapa final'!$O$41),"")</f>
        <v/>
      </c>
      <c r="AB50" s="76" t="str">
        <f>IF(AND('[2]Mapa final'!$Y$36="Muy Baja",'[2]Mapa final'!$AA$36="Mayor"),CONCATENATE("R5C",'[2]Mapa final'!$O$36),"")</f>
        <v/>
      </c>
      <c r="AC50" s="77" t="str">
        <f>IF(AND('[2]Mapa final'!$Y$37="Muy Baja",'[2]Mapa final'!$AA$37="Mayor"),CONCATENATE("R5C",'[2]Mapa final'!$O$37),"")</f>
        <v/>
      </c>
      <c r="AD50" s="77" t="str">
        <f>IF(AND('[2]Mapa final'!$Y$38="Muy Baja",'[2]Mapa final'!$AA$38="Mayor"),CONCATENATE("R5C",'[2]Mapa final'!$O$38),"")</f>
        <v/>
      </c>
      <c r="AE50" s="77" t="str">
        <f>IF(AND('[2]Mapa final'!$Y$39="Muy Baja",'[2]Mapa final'!$AA$39="Mayor"),CONCATENATE("R5C",'[2]Mapa final'!$O$39),"")</f>
        <v/>
      </c>
      <c r="AF50" s="77" t="str">
        <f>IF(AND('[2]Mapa final'!$Y$40="Muy Baja",'[2]Mapa final'!$AA$40="Mayor"),CONCATENATE("R5C",'[2]Mapa final'!$O$40),"")</f>
        <v/>
      </c>
      <c r="AG50" s="78" t="str">
        <f>IF(AND('[2]Mapa final'!$Y$41="Muy Baja",'[2]Mapa final'!$AA$41="Mayor"),CONCATENATE("R5C",'[2]Mapa final'!$O$41),"")</f>
        <v/>
      </c>
      <c r="AH50" s="79" t="str">
        <f>IF(AND('[2]Mapa final'!$Y$36="Muy Baja",'[2]Mapa final'!$AA$36="Catastrófico"),CONCATENATE("R5C",'[2]Mapa final'!$O$36),"")</f>
        <v/>
      </c>
      <c r="AI50" s="80" t="str">
        <f>IF(AND('[2]Mapa final'!$Y$37="Muy Baja",'[2]Mapa final'!$AA$37="Catastrófico"),CONCATENATE("R5C",'[2]Mapa final'!$O$37),"")</f>
        <v/>
      </c>
      <c r="AJ50" s="80" t="str">
        <f>IF(AND('[2]Mapa final'!$Y$38="Muy Baja",'[2]Mapa final'!$AA$38="Catastrófico"),CONCATENATE("R5C",'[2]Mapa final'!$O$38),"")</f>
        <v/>
      </c>
      <c r="AK50" s="80" t="str">
        <f>IF(AND('[2]Mapa final'!$Y$39="Muy Baja",'[2]Mapa final'!$AA$39="Catastrófico"),CONCATENATE("R5C",'[2]Mapa final'!$O$39),"")</f>
        <v/>
      </c>
      <c r="AL50" s="80" t="str">
        <f>IF(AND('[2]Mapa final'!$Y$40="Muy Baja",'[2]Mapa final'!$AA$40="Catastrófico"),CONCATENATE("R5C",'[2]Mapa final'!$O$40),"")</f>
        <v/>
      </c>
      <c r="AM50" s="81" t="str">
        <f>IF(AND('[2]Mapa final'!$Y$41="Muy Baja",'[2]Mapa final'!$AA$41="Catastrófico"),CONCATENATE("R5C",'[2]Mapa final'!$O$41),"")</f>
        <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row>
    <row r="51" spans="1:80" ht="15" customHeight="1">
      <c r="A51" s="68"/>
      <c r="B51" s="406"/>
      <c r="C51" s="406"/>
      <c r="D51" s="407"/>
      <c r="E51" s="396"/>
      <c r="F51" s="397"/>
      <c r="G51" s="397"/>
      <c r="H51" s="397"/>
      <c r="I51" s="398"/>
      <c r="J51" s="100" t="str">
        <f>IF(AND('[2]Mapa final'!$Y$42="Muy Baja",'[2]Mapa final'!$AA$42="Leve"),CONCATENATE("R6C",'[2]Mapa final'!$O$42),"")</f>
        <v/>
      </c>
      <c r="K51" s="101" t="str">
        <f>IF(AND('[2]Mapa final'!$Y$43="Muy Baja",'[2]Mapa final'!$AA$43="Leve"),CONCATENATE("R6C",'[2]Mapa final'!$O$43),"")</f>
        <v/>
      </c>
      <c r="L51" s="101" t="str">
        <f>IF(AND('[2]Mapa final'!$Y$44="Muy Baja",'[2]Mapa final'!$AA$44="Leve"),CONCATENATE("R6C",'[2]Mapa final'!$O$44),"")</f>
        <v/>
      </c>
      <c r="M51" s="101" t="str">
        <f>IF(AND('[2]Mapa final'!$Y$45="Muy Baja",'[2]Mapa final'!$AA$45="Leve"),CONCATENATE("R6C",'[2]Mapa final'!$O$45),"")</f>
        <v/>
      </c>
      <c r="N51" s="101" t="str">
        <f>IF(AND('[2]Mapa final'!$Y$46="Muy Baja",'[2]Mapa final'!$AA$46="Leve"),CONCATENATE("R6C",'[2]Mapa final'!$O$46),"")</f>
        <v/>
      </c>
      <c r="O51" s="102" t="str">
        <f>IF(AND('[2]Mapa final'!$Y$47="Muy Baja",'[2]Mapa final'!$AA$47="Leve"),CONCATENATE("R6C",'[2]Mapa final'!$O$47),"")</f>
        <v/>
      </c>
      <c r="P51" s="100" t="str">
        <f>IF(AND('[2]Mapa final'!$Y$42="Muy Baja",'[2]Mapa final'!$AA$42="Menor"),CONCATENATE("R6C",'[2]Mapa final'!$O$42),"")</f>
        <v/>
      </c>
      <c r="Q51" s="101" t="str">
        <f>IF(AND('[2]Mapa final'!$Y$43="Muy Baja",'[2]Mapa final'!$AA$43="Menor"),CONCATENATE("R6C",'[2]Mapa final'!$O$43),"")</f>
        <v/>
      </c>
      <c r="R51" s="101" t="str">
        <f>IF(AND('[2]Mapa final'!$Y$44="Muy Baja",'[2]Mapa final'!$AA$44="Menor"),CONCATENATE("R6C",'[2]Mapa final'!$O$44),"")</f>
        <v/>
      </c>
      <c r="S51" s="101" t="str">
        <f>IF(AND('[2]Mapa final'!$Y$45="Muy Baja",'[2]Mapa final'!$AA$45="Menor"),CONCATENATE("R6C",'[2]Mapa final'!$O$45),"")</f>
        <v/>
      </c>
      <c r="T51" s="101" t="str">
        <f>IF(AND('[2]Mapa final'!$Y$46="Muy Baja",'[2]Mapa final'!$AA$46="Menor"),CONCATENATE("R6C",'[2]Mapa final'!$O$46),"")</f>
        <v/>
      </c>
      <c r="U51" s="102" t="str">
        <f>IF(AND('[2]Mapa final'!$Y$47="Muy Baja",'[2]Mapa final'!$AA$47="Menor"),CONCATENATE("R6C",'[2]Mapa final'!$O$47),"")</f>
        <v/>
      </c>
      <c r="V51" s="91" t="str">
        <f>IF(AND('[2]Mapa final'!$Y$42="Muy Baja",'[2]Mapa final'!$AA$42="Moderado"),CONCATENATE("R6C",'[2]Mapa final'!$O$42),"")</f>
        <v>R6C1</v>
      </c>
      <c r="W51" s="92" t="str">
        <f>IF(AND('[2]Mapa final'!$Y$43="Muy Baja",'[2]Mapa final'!$AA$43="Moderado"),CONCATENATE("R6C",'[2]Mapa final'!$O$43),"")</f>
        <v/>
      </c>
      <c r="X51" s="92" t="str">
        <f>IF(AND('[2]Mapa final'!$Y$44="Muy Baja",'[2]Mapa final'!$AA$44="Moderado"),CONCATENATE("R6C",'[2]Mapa final'!$O$44),"")</f>
        <v/>
      </c>
      <c r="Y51" s="92" t="str">
        <f>IF(AND('[2]Mapa final'!$Y$45="Muy Baja",'[2]Mapa final'!$AA$45="Moderado"),CONCATENATE("R6C",'[2]Mapa final'!$O$45),"")</f>
        <v/>
      </c>
      <c r="Z51" s="92" t="str">
        <f>IF(AND('[2]Mapa final'!$Y$46="Muy Baja",'[2]Mapa final'!$AA$46="Moderado"),CONCATENATE("R6C",'[2]Mapa final'!$O$46),"")</f>
        <v/>
      </c>
      <c r="AA51" s="93" t="str">
        <f>IF(AND('[2]Mapa final'!$Y$47="Muy Baja",'[2]Mapa final'!$AA$47="Moderado"),CONCATENATE("R6C",'[2]Mapa final'!$O$47),"")</f>
        <v/>
      </c>
      <c r="AB51" s="76" t="str">
        <f>IF(AND('[2]Mapa final'!$Y$42="Muy Baja",'[2]Mapa final'!$AA$42="Mayor"),CONCATENATE("R6C",'[2]Mapa final'!$O$42),"")</f>
        <v/>
      </c>
      <c r="AC51" s="77" t="str">
        <f>IF(AND('[2]Mapa final'!$Y$43="Muy Baja",'[2]Mapa final'!$AA$43="Mayor"),CONCATENATE("R6C",'[2]Mapa final'!$O$43),"")</f>
        <v/>
      </c>
      <c r="AD51" s="77" t="str">
        <f>IF(AND('[2]Mapa final'!$Y$44="Muy Baja",'[2]Mapa final'!$AA$44="Mayor"),CONCATENATE("R6C",'[2]Mapa final'!$O$44),"")</f>
        <v/>
      </c>
      <c r="AE51" s="77" t="str">
        <f>IF(AND('[2]Mapa final'!$Y$45="Muy Baja",'[2]Mapa final'!$AA$45="Mayor"),CONCATENATE("R6C",'[2]Mapa final'!$O$45),"")</f>
        <v/>
      </c>
      <c r="AF51" s="77" t="str">
        <f>IF(AND('[2]Mapa final'!$Y$46="Muy Baja",'[2]Mapa final'!$AA$46="Mayor"),CONCATENATE("R6C",'[2]Mapa final'!$O$46),"")</f>
        <v/>
      </c>
      <c r="AG51" s="78" t="str">
        <f>IF(AND('[2]Mapa final'!$Y$47="Muy Baja",'[2]Mapa final'!$AA$47="Mayor"),CONCATENATE("R6C",'[2]Mapa final'!$O$47),"")</f>
        <v/>
      </c>
      <c r="AH51" s="79" t="str">
        <f>IF(AND('[2]Mapa final'!$Y$42="Muy Baja",'[2]Mapa final'!$AA$42="Catastrófico"),CONCATENATE("R6C",'[2]Mapa final'!$O$42),"")</f>
        <v/>
      </c>
      <c r="AI51" s="80" t="str">
        <f>IF(AND('[2]Mapa final'!$Y$43="Muy Baja",'[2]Mapa final'!$AA$43="Catastrófico"),CONCATENATE("R6C",'[2]Mapa final'!$O$43),"")</f>
        <v/>
      </c>
      <c r="AJ51" s="80" t="str">
        <f>IF(AND('[2]Mapa final'!$Y$44="Muy Baja",'[2]Mapa final'!$AA$44="Catastrófico"),CONCATENATE("R6C",'[2]Mapa final'!$O$44),"")</f>
        <v/>
      </c>
      <c r="AK51" s="80" t="str">
        <f>IF(AND('[2]Mapa final'!$Y$45="Muy Baja",'[2]Mapa final'!$AA$45="Catastrófico"),CONCATENATE("R6C",'[2]Mapa final'!$O$45),"")</f>
        <v/>
      </c>
      <c r="AL51" s="80" t="str">
        <f>IF(AND('[2]Mapa final'!$Y$46="Muy Baja",'[2]Mapa final'!$AA$46="Catastrófico"),CONCATENATE("R6C",'[2]Mapa final'!$O$46),"")</f>
        <v/>
      </c>
      <c r="AM51" s="81" t="str">
        <f>IF(AND('[2]Mapa final'!$Y$47="Muy Baja",'[2]Mapa final'!$AA$47="Catastrófico"),CONCATENATE("R6C",'[2]Mapa final'!$O$47),"")</f>
        <v/>
      </c>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row>
    <row r="52" spans="1:80" ht="15" customHeight="1">
      <c r="A52" s="68"/>
      <c r="B52" s="406"/>
      <c r="C52" s="406"/>
      <c r="D52" s="407"/>
      <c r="E52" s="396"/>
      <c r="F52" s="397"/>
      <c r="G52" s="397"/>
      <c r="H52" s="397"/>
      <c r="I52" s="398"/>
      <c r="J52" s="100" t="str">
        <f>IF(AND('[2]Mapa final'!$Y$48="Muy Baja",'[2]Mapa final'!$AA$48="Leve"),CONCATENATE("R7C",'[2]Mapa final'!$O$48),"")</f>
        <v/>
      </c>
      <c r="K52" s="101" t="str">
        <f>IF(AND('[2]Mapa final'!$Y$49="Muy Baja",'[2]Mapa final'!$AA$49="Leve"),CONCATENATE("R7C",'[2]Mapa final'!$O$49),"")</f>
        <v/>
      </c>
      <c r="L52" s="101" t="str">
        <f>IF(AND('[2]Mapa final'!$Y$50="Muy Baja",'[2]Mapa final'!$AA$50="Leve"),CONCATENATE("R7C",'[2]Mapa final'!$O$50),"")</f>
        <v/>
      </c>
      <c r="M52" s="101" t="str">
        <f>IF(AND('[2]Mapa final'!$Y$51="Muy Baja",'[2]Mapa final'!$AA$51="Leve"),CONCATENATE("R7C",'[2]Mapa final'!$O$51),"")</f>
        <v/>
      </c>
      <c r="N52" s="101" t="str">
        <f>IF(AND('[2]Mapa final'!$Y$52="Muy Baja",'[2]Mapa final'!$AA$52="Leve"),CONCATENATE("R7C",'[2]Mapa final'!$O$52),"")</f>
        <v/>
      </c>
      <c r="O52" s="102" t="str">
        <f>IF(AND('[2]Mapa final'!$Y$53="Muy Baja",'[2]Mapa final'!$AA$53="Leve"),CONCATENATE("R7C",'[2]Mapa final'!$O$53),"")</f>
        <v/>
      </c>
      <c r="P52" s="100" t="str">
        <f>IF(AND('[2]Mapa final'!$Y$48="Muy Baja",'[2]Mapa final'!$AA$48="Menor"),CONCATENATE("R7C",'[2]Mapa final'!$O$48),"")</f>
        <v/>
      </c>
      <c r="Q52" s="101" t="str">
        <f>IF(AND('[2]Mapa final'!$Y$49="Muy Baja",'[2]Mapa final'!$AA$49="Menor"),CONCATENATE("R7C",'[2]Mapa final'!$O$49),"")</f>
        <v/>
      </c>
      <c r="R52" s="101" t="str">
        <f>IF(AND('[2]Mapa final'!$Y$50="Muy Baja",'[2]Mapa final'!$AA$50="Menor"),CONCATENATE("R7C",'[2]Mapa final'!$O$50),"")</f>
        <v/>
      </c>
      <c r="S52" s="101" t="str">
        <f>IF(AND('[2]Mapa final'!$Y$51="Muy Baja",'[2]Mapa final'!$AA$51="Menor"),CONCATENATE("R7C",'[2]Mapa final'!$O$51),"")</f>
        <v/>
      </c>
      <c r="T52" s="101" t="str">
        <f>IF(AND('[2]Mapa final'!$Y$52="Muy Baja",'[2]Mapa final'!$AA$52="Menor"),CONCATENATE("R7C",'[2]Mapa final'!$O$52),"")</f>
        <v/>
      </c>
      <c r="U52" s="102" t="str">
        <f>IF(AND('[2]Mapa final'!$Y$53="Muy Baja",'[2]Mapa final'!$AA$53="Menor"),CONCATENATE("R7C",'[2]Mapa final'!$O$53),"")</f>
        <v/>
      </c>
      <c r="V52" s="91" t="str">
        <f>IF(AND('[2]Mapa final'!$Y$48="Muy Baja",'[2]Mapa final'!$AA$48="Moderado"),CONCATENATE("R7C",'[2]Mapa final'!$O$48),"")</f>
        <v/>
      </c>
      <c r="W52" s="92" t="str">
        <f>IF(AND('[2]Mapa final'!$Y$49="Muy Baja",'[2]Mapa final'!$AA$49="Moderado"),CONCATENATE("R7C",'[2]Mapa final'!$O$49),"")</f>
        <v/>
      </c>
      <c r="X52" s="92" t="str">
        <f>IF(AND('[2]Mapa final'!$Y$50="Muy Baja",'[2]Mapa final'!$AA$50="Moderado"),CONCATENATE("R7C",'[2]Mapa final'!$O$50),"")</f>
        <v/>
      </c>
      <c r="Y52" s="92" t="str">
        <f>IF(AND('[2]Mapa final'!$Y$51="Muy Baja",'[2]Mapa final'!$AA$51="Moderado"),CONCATENATE("R7C",'[2]Mapa final'!$O$51),"")</f>
        <v/>
      </c>
      <c r="Z52" s="92" t="str">
        <f>IF(AND('[2]Mapa final'!$Y$52="Muy Baja",'[2]Mapa final'!$AA$52="Moderado"),CONCATENATE("R7C",'[2]Mapa final'!$O$52),"")</f>
        <v/>
      </c>
      <c r="AA52" s="93" t="str">
        <f>IF(AND('[2]Mapa final'!$Y$53="Muy Baja",'[2]Mapa final'!$AA$53="Moderado"),CONCATENATE("R7C",'[2]Mapa final'!$O$53),"")</f>
        <v/>
      </c>
      <c r="AB52" s="76" t="str">
        <f>IF(AND('[2]Mapa final'!$Y$48="Muy Baja",'[2]Mapa final'!$AA$48="Mayor"),CONCATENATE("R7C",'[2]Mapa final'!$O$48),"")</f>
        <v/>
      </c>
      <c r="AC52" s="77" t="str">
        <f>IF(AND('[2]Mapa final'!$Y$49="Muy Baja",'[2]Mapa final'!$AA$49="Mayor"),CONCATENATE("R7C",'[2]Mapa final'!$O$49),"")</f>
        <v/>
      </c>
      <c r="AD52" s="77" t="str">
        <f>IF(AND('[2]Mapa final'!$Y$50="Muy Baja",'[2]Mapa final'!$AA$50="Mayor"),CONCATENATE("R7C",'[2]Mapa final'!$O$50),"")</f>
        <v/>
      </c>
      <c r="AE52" s="77" t="str">
        <f>IF(AND('[2]Mapa final'!$Y$51="Muy Baja",'[2]Mapa final'!$AA$51="Mayor"),CONCATENATE("R7C",'[2]Mapa final'!$O$51),"")</f>
        <v/>
      </c>
      <c r="AF52" s="77" t="str">
        <f>IF(AND('[2]Mapa final'!$Y$52="Muy Baja",'[2]Mapa final'!$AA$52="Mayor"),CONCATENATE("R7C",'[2]Mapa final'!$O$52),"")</f>
        <v/>
      </c>
      <c r="AG52" s="78" t="str">
        <f>IF(AND('[2]Mapa final'!$Y$53="Muy Baja",'[2]Mapa final'!$AA$53="Mayor"),CONCATENATE("R7C",'[2]Mapa final'!$O$53),"")</f>
        <v/>
      </c>
      <c r="AH52" s="79" t="str">
        <f>IF(AND('[2]Mapa final'!$Y$48="Muy Baja",'[2]Mapa final'!$AA$48="Catastrófico"),CONCATENATE("R7C",'[2]Mapa final'!$O$48),"")</f>
        <v/>
      </c>
      <c r="AI52" s="80" t="str">
        <f>IF(AND('[2]Mapa final'!$Y$49="Muy Baja",'[2]Mapa final'!$AA$49="Catastrófico"),CONCATENATE("R7C",'[2]Mapa final'!$O$49),"")</f>
        <v/>
      </c>
      <c r="AJ52" s="80" t="str">
        <f>IF(AND('[2]Mapa final'!$Y$50="Muy Baja",'[2]Mapa final'!$AA$50="Catastrófico"),CONCATENATE("R7C",'[2]Mapa final'!$O$50),"")</f>
        <v/>
      </c>
      <c r="AK52" s="80" t="str">
        <f>IF(AND('[2]Mapa final'!$Y$51="Muy Baja",'[2]Mapa final'!$AA$51="Catastrófico"),CONCATENATE("R7C",'[2]Mapa final'!$O$51),"")</f>
        <v/>
      </c>
      <c r="AL52" s="80" t="str">
        <f>IF(AND('[2]Mapa final'!$Y$52="Muy Baja",'[2]Mapa final'!$AA$52="Catastrófico"),CONCATENATE("R7C",'[2]Mapa final'!$O$52),"")</f>
        <v/>
      </c>
      <c r="AM52" s="81" t="str">
        <f>IF(AND('[2]Mapa final'!$Y$53="Muy Baja",'[2]Mapa final'!$AA$53="Catastrófico"),CONCATENATE("R7C",'[2]Mapa final'!$O$53),"")</f>
        <v/>
      </c>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row>
    <row r="53" spans="1:80" ht="15" customHeight="1">
      <c r="A53" s="68"/>
      <c r="B53" s="406"/>
      <c r="C53" s="406"/>
      <c r="D53" s="407"/>
      <c r="E53" s="396"/>
      <c r="F53" s="397"/>
      <c r="G53" s="397"/>
      <c r="H53" s="397"/>
      <c r="I53" s="398"/>
      <c r="J53" s="100" t="str">
        <f>IF(AND('[2]Mapa final'!$Y$54="Muy Baja",'[2]Mapa final'!$AA$54="Leve"),CONCATENATE("R8C",'[2]Mapa final'!$O$54),"")</f>
        <v/>
      </c>
      <c r="K53" s="101" t="str">
        <f>IF(AND('[2]Mapa final'!$Y$55="Muy Baja",'[2]Mapa final'!$AA$55="Leve"),CONCATENATE("R8C",'[2]Mapa final'!$O$55),"")</f>
        <v/>
      </c>
      <c r="L53" s="101" t="str">
        <f>IF(AND('[2]Mapa final'!$Y$56="Muy Baja",'[2]Mapa final'!$AA$56="Leve"),CONCATENATE("R8C",'[2]Mapa final'!$O$56),"")</f>
        <v/>
      </c>
      <c r="M53" s="101" t="str">
        <f>IF(AND('[2]Mapa final'!$Y$57="Muy Baja",'[2]Mapa final'!$AA$57="Leve"),CONCATENATE("R8C",'[2]Mapa final'!$O$57),"")</f>
        <v/>
      </c>
      <c r="N53" s="101" t="str">
        <f>IF(AND('[2]Mapa final'!$Y$58="Muy Baja",'[2]Mapa final'!$AA$58="Leve"),CONCATENATE("R8C",'[2]Mapa final'!$O$58),"")</f>
        <v/>
      </c>
      <c r="O53" s="102" t="str">
        <f>IF(AND('[2]Mapa final'!$Y$59="Muy Baja",'[2]Mapa final'!$AA$59="Leve"),CONCATENATE("R8C",'[2]Mapa final'!$O$59),"")</f>
        <v/>
      </c>
      <c r="P53" s="100" t="str">
        <f>IF(AND('[2]Mapa final'!$Y$54="Muy Baja",'[2]Mapa final'!$AA$54="Menor"),CONCATENATE("R8C",'[2]Mapa final'!$O$54),"")</f>
        <v/>
      </c>
      <c r="Q53" s="101" t="str">
        <f>IF(AND('[2]Mapa final'!$Y$55="Muy Baja",'[2]Mapa final'!$AA$55="Menor"),CONCATENATE("R8C",'[2]Mapa final'!$O$55),"")</f>
        <v/>
      </c>
      <c r="R53" s="101" t="str">
        <f>IF(AND('[2]Mapa final'!$Y$56="Muy Baja",'[2]Mapa final'!$AA$56="Menor"),CONCATENATE("R8C",'[2]Mapa final'!$O$56),"")</f>
        <v/>
      </c>
      <c r="S53" s="101" t="str">
        <f>IF(AND('[2]Mapa final'!$Y$57="Muy Baja",'[2]Mapa final'!$AA$57="Menor"),CONCATENATE("R8C",'[2]Mapa final'!$O$57),"")</f>
        <v/>
      </c>
      <c r="T53" s="101" t="str">
        <f>IF(AND('[2]Mapa final'!$Y$58="Muy Baja",'[2]Mapa final'!$AA$58="Menor"),CONCATENATE("R8C",'[2]Mapa final'!$O$58),"")</f>
        <v/>
      </c>
      <c r="U53" s="102" t="str">
        <f>IF(AND('[2]Mapa final'!$Y$59="Muy Baja",'[2]Mapa final'!$AA$59="Menor"),CONCATENATE("R8C",'[2]Mapa final'!$O$59),"")</f>
        <v/>
      </c>
      <c r="V53" s="91" t="str">
        <f>IF(AND('[2]Mapa final'!$Y$54="Muy Baja",'[2]Mapa final'!$AA$54="Moderado"),CONCATENATE("R8C",'[2]Mapa final'!$O$54),"")</f>
        <v/>
      </c>
      <c r="W53" s="92" t="str">
        <f>IF(AND('[2]Mapa final'!$Y$55="Muy Baja",'[2]Mapa final'!$AA$55="Moderado"),CONCATENATE("R8C",'[2]Mapa final'!$O$55),"")</f>
        <v/>
      </c>
      <c r="X53" s="92" t="str">
        <f>IF(AND('[2]Mapa final'!$Y$56="Muy Baja",'[2]Mapa final'!$AA$56="Moderado"),CONCATENATE("R8C",'[2]Mapa final'!$O$56),"")</f>
        <v/>
      </c>
      <c r="Y53" s="92" t="str">
        <f>IF(AND('[2]Mapa final'!$Y$57="Muy Baja",'[2]Mapa final'!$AA$57="Moderado"),CONCATENATE("R8C",'[2]Mapa final'!$O$57),"")</f>
        <v/>
      </c>
      <c r="Z53" s="92" t="str">
        <f>IF(AND('[2]Mapa final'!$Y$58="Muy Baja",'[2]Mapa final'!$AA$58="Moderado"),CONCATENATE("R8C",'[2]Mapa final'!$O$58),"")</f>
        <v/>
      </c>
      <c r="AA53" s="93" t="str">
        <f>IF(AND('[2]Mapa final'!$Y$59="Muy Baja",'[2]Mapa final'!$AA$59="Moderado"),CONCATENATE("R8C",'[2]Mapa final'!$O$59),"")</f>
        <v/>
      </c>
      <c r="AB53" s="76" t="str">
        <f>IF(AND('[2]Mapa final'!$Y$54="Muy Baja",'[2]Mapa final'!$AA$54="Mayor"),CONCATENATE("R8C",'[2]Mapa final'!$O$54),"")</f>
        <v/>
      </c>
      <c r="AC53" s="77" t="str">
        <f>IF(AND('[2]Mapa final'!$Y$55="Muy Baja",'[2]Mapa final'!$AA$55="Mayor"),CONCATENATE("R8C",'[2]Mapa final'!$O$55),"")</f>
        <v/>
      </c>
      <c r="AD53" s="77" t="str">
        <f>IF(AND('[2]Mapa final'!$Y$56="Muy Baja",'[2]Mapa final'!$AA$56="Mayor"),CONCATENATE("R8C",'[2]Mapa final'!$O$56),"")</f>
        <v/>
      </c>
      <c r="AE53" s="77" t="str">
        <f>IF(AND('[2]Mapa final'!$Y$57="Muy Baja",'[2]Mapa final'!$AA$57="Mayor"),CONCATENATE("R8C",'[2]Mapa final'!$O$57),"")</f>
        <v/>
      </c>
      <c r="AF53" s="77" t="str">
        <f>IF(AND('[2]Mapa final'!$Y$58="Muy Baja",'[2]Mapa final'!$AA$58="Mayor"),CONCATENATE("R8C",'[2]Mapa final'!$O$58),"")</f>
        <v/>
      </c>
      <c r="AG53" s="78" t="str">
        <f>IF(AND('[2]Mapa final'!$Y$59="Muy Baja",'[2]Mapa final'!$AA$59="Mayor"),CONCATENATE("R8C",'[2]Mapa final'!$O$59),"")</f>
        <v/>
      </c>
      <c r="AH53" s="79" t="str">
        <f>IF(AND('[2]Mapa final'!$Y$54="Muy Baja",'[2]Mapa final'!$AA$54="Catastrófico"),CONCATENATE("R8C",'[2]Mapa final'!$O$54),"")</f>
        <v/>
      </c>
      <c r="AI53" s="80" t="str">
        <f>IF(AND('[2]Mapa final'!$Y$55="Muy Baja",'[2]Mapa final'!$AA$55="Catastrófico"),CONCATENATE("R8C",'[2]Mapa final'!$O$55),"")</f>
        <v/>
      </c>
      <c r="AJ53" s="80" t="str">
        <f>IF(AND('[2]Mapa final'!$Y$56="Muy Baja",'[2]Mapa final'!$AA$56="Catastrófico"),CONCATENATE("R8C",'[2]Mapa final'!$O$56),"")</f>
        <v/>
      </c>
      <c r="AK53" s="80" t="str">
        <f>IF(AND('[2]Mapa final'!$Y$57="Muy Baja",'[2]Mapa final'!$AA$57="Catastrófico"),CONCATENATE("R8C",'[2]Mapa final'!$O$57),"")</f>
        <v/>
      </c>
      <c r="AL53" s="80" t="str">
        <f>IF(AND('[2]Mapa final'!$Y$58="Muy Baja",'[2]Mapa final'!$AA$58="Catastrófico"),CONCATENATE("R8C",'[2]Mapa final'!$O$58),"")</f>
        <v/>
      </c>
      <c r="AM53" s="81" t="str">
        <f>IF(AND('[2]Mapa final'!$Y$59="Muy Baja",'[2]Mapa final'!$AA$59="Catastrófico"),CONCATENATE("R8C",'[2]Mapa final'!$O$59),"")</f>
        <v/>
      </c>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row>
    <row r="54" spans="1:80" ht="15" customHeight="1">
      <c r="A54" s="68"/>
      <c r="B54" s="406"/>
      <c r="C54" s="406"/>
      <c r="D54" s="407"/>
      <c r="E54" s="396"/>
      <c r="F54" s="397"/>
      <c r="G54" s="397"/>
      <c r="H54" s="397"/>
      <c r="I54" s="398"/>
      <c r="J54" s="100" t="str">
        <f>IF(AND('[2]Mapa final'!$Y$60="Muy Baja",'[2]Mapa final'!$AA$60="Leve"),CONCATENATE("R9C",'[2]Mapa final'!$O$60),"")</f>
        <v/>
      </c>
      <c r="K54" s="101" t="str">
        <f>IF(AND('[2]Mapa final'!$Y$61="Muy Baja",'[2]Mapa final'!$AA$61="Leve"),CONCATENATE("R9C",'[2]Mapa final'!$O$61),"")</f>
        <v/>
      </c>
      <c r="L54" s="101" t="str">
        <f>IF(AND('[2]Mapa final'!$Y$62="Muy Baja",'[2]Mapa final'!$AA$62="Leve"),CONCATENATE("R9C",'[2]Mapa final'!$O$62),"")</f>
        <v/>
      </c>
      <c r="M54" s="101" t="str">
        <f>IF(AND('[2]Mapa final'!$Y$63="Muy Baja",'[2]Mapa final'!$AA$63="Leve"),CONCATENATE("R9C",'[2]Mapa final'!$O$63),"")</f>
        <v/>
      </c>
      <c r="N54" s="101" t="str">
        <f>IF(AND('[2]Mapa final'!$Y$64="Muy Baja",'[2]Mapa final'!$AA$64="Leve"),CONCATENATE("R9C",'[2]Mapa final'!$O$64),"")</f>
        <v/>
      </c>
      <c r="O54" s="102" t="str">
        <f>IF(AND('[2]Mapa final'!$Y$65="Muy Baja",'[2]Mapa final'!$AA$65="Leve"),CONCATENATE("R9C",'[2]Mapa final'!$O$65),"")</f>
        <v/>
      </c>
      <c r="P54" s="100" t="str">
        <f>IF(AND('[2]Mapa final'!$Y$60="Muy Baja",'[2]Mapa final'!$AA$60="Menor"),CONCATENATE("R9C",'[2]Mapa final'!$O$60),"")</f>
        <v/>
      </c>
      <c r="Q54" s="101" t="str">
        <f>IF(AND('[2]Mapa final'!$Y$61="Muy Baja",'[2]Mapa final'!$AA$61="Menor"),CONCATENATE("R9C",'[2]Mapa final'!$O$61),"")</f>
        <v/>
      </c>
      <c r="R54" s="101" t="str">
        <f>IF(AND('[2]Mapa final'!$Y$62="Muy Baja",'[2]Mapa final'!$AA$62="Menor"),CONCATENATE("R9C",'[2]Mapa final'!$O$62),"")</f>
        <v/>
      </c>
      <c r="S54" s="101" t="str">
        <f>IF(AND('[2]Mapa final'!$Y$63="Muy Baja",'[2]Mapa final'!$AA$63="Menor"),CONCATENATE("R9C",'[2]Mapa final'!$O$63),"")</f>
        <v/>
      </c>
      <c r="T54" s="101" t="str">
        <f>IF(AND('[2]Mapa final'!$Y$64="Muy Baja",'[2]Mapa final'!$AA$64="Menor"),CONCATENATE("R9C",'[2]Mapa final'!$O$64),"")</f>
        <v/>
      </c>
      <c r="U54" s="102" t="str">
        <f>IF(AND('[2]Mapa final'!$Y$65="Muy Baja",'[2]Mapa final'!$AA$65="Menor"),CONCATENATE("R9C",'[2]Mapa final'!$O$65),"")</f>
        <v/>
      </c>
      <c r="V54" s="91" t="str">
        <f>IF(AND('[2]Mapa final'!$Y$60="Muy Baja",'[2]Mapa final'!$AA$60="Moderado"),CONCATENATE("R9C",'[2]Mapa final'!$O$60),"")</f>
        <v/>
      </c>
      <c r="W54" s="92" t="str">
        <f>IF(AND('[2]Mapa final'!$Y$61="Muy Baja",'[2]Mapa final'!$AA$61="Moderado"),CONCATENATE("R9C",'[2]Mapa final'!$O$61),"")</f>
        <v/>
      </c>
      <c r="X54" s="92" t="str">
        <f>IF(AND('[2]Mapa final'!$Y$62="Muy Baja",'[2]Mapa final'!$AA$62="Moderado"),CONCATENATE("R9C",'[2]Mapa final'!$O$62),"")</f>
        <v/>
      </c>
      <c r="Y54" s="92" t="str">
        <f>IF(AND('[2]Mapa final'!$Y$63="Muy Baja",'[2]Mapa final'!$AA$63="Moderado"),CONCATENATE("R9C",'[2]Mapa final'!$O$63),"")</f>
        <v/>
      </c>
      <c r="Z54" s="92" t="str">
        <f>IF(AND('[2]Mapa final'!$Y$64="Muy Baja",'[2]Mapa final'!$AA$64="Moderado"),CONCATENATE("R9C",'[2]Mapa final'!$O$64),"")</f>
        <v/>
      </c>
      <c r="AA54" s="93" t="str">
        <f>IF(AND('[2]Mapa final'!$Y$65="Muy Baja",'[2]Mapa final'!$AA$65="Moderado"),CONCATENATE("R9C",'[2]Mapa final'!$O$65),"")</f>
        <v/>
      </c>
      <c r="AB54" s="76" t="str">
        <f>IF(AND('[2]Mapa final'!$Y$60="Muy Baja",'[2]Mapa final'!$AA$60="Mayor"),CONCATENATE("R9C",'[2]Mapa final'!$O$60),"")</f>
        <v/>
      </c>
      <c r="AC54" s="77" t="str">
        <f>IF(AND('[2]Mapa final'!$Y$61="Muy Baja",'[2]Mapa final'!$AA$61="Mayor"),CONCATENATE("R9C",'[2]Mapa final'!$O$61),"")</f>
        <v/>
      </c>
      <c r="AD54" s="77" t="str">
        <f>IF(AND('[2]Mapa final'!$Y$62="Muy Baja",'[2]Mapa final'!$AA$62="Mayor"),CONCATENATE("R9C",'[2]Mapa final'!$O$62),"")</f>
        <v/>
      </c>
      <c r="AE54" s="77" t="str">
        <f>IF(AND('[2]Mapa final'!$Y$63="Muy Baja",'[2]Mapa final'!$AA$63="Mayor"),CONCATENATE("R9C",'[2]Mapa final'!$O$63),"")</f>
        <v/>
      </c>
      <c r="AF54" s="77" t="str">
        <f>IF(AND('[2]Mapa final'!$Y$64="Muy Baja",'[2]Mapa final'!$AA$64="Mayor"),CONCATENATE("R9C",'[2]Mapa final'!$O$64),"")</f>
        <v/>
      </c>
      <c r="AG54" s="78" t="str">
        <f>IF(AND('[2]Mapa final'!$Y$65="Muy Baja",'[2]Mapa final'!$AA$65="Mayor"),CONCATENATE("R9C",'[2]Mapa final'!$O$65),"")</f>
        <v/>
      </c>
      <c r="AH54" s="79" t="str">
        <f>IF(AND('[2]Mapa final'!$Y$60="Muy Baja",'[2]Mapa final'!$AA$60="Catastrófico"),CONCATENATE("R9C",'[2]Mapa final'!$O$60),"")</f>
        <v/>
      </c>
      <c r="AI54" s="80" t="str">
        <f>IF(AND('[2]Mapa final'!$Y$61="Muy Baja",'[2]Mapa final'!$AA$61="Catastrófico"),CONCATENATE("R9C",'[2]Mapa final'!$O$61),"")</f>
        <v/>
      </c>
      <c r="AJ54" s="80" t="str">
        <f>IF(AND('[2]Mapa final'!$Y$62="Muy Baja",'[2]Mapa final'!$AA$62="Catastrófico"),CONCATENATE("R9C",'[2]Mapa final'!$O$62),"")</f>
        <v/>
      </c>
      <c r="AK54" s="80" t="str">
        <f>IF(AND('[2]Mapa final'!$Y$63="Muy Baja",'[2]Mapa final'!$AA$63="Catastrófico"),CONCATENATE("R9C",'[2]Mapa final'!$O$63),"")</f>
        <v/>
      </c>
      <c r="AL54" s="80" t="str">
        <f>IF(AND('[2]Mapa final'!$Y$64="Muy Baja",'[2]Mapa final'!$AA$64="Catastrófico"),CONCATENATE("R9C",'[2]Mapa final'!$O$64),"")</f>
        <v/>
      </c>
      <c r="AM54" s="81" t="str">
        <f>IF(AND('[2]Mapa final'!$Y$65="Muy Baja",'[2]Mapa final'!$AA$65="Catastrófico"),CONCATENATE("R9C",'[2]Mapa final'!$O$65),"")</f>
        <v/>
      </c>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row>
    <row r="55" spans="1:80" ht="15.75" customHeight="1" thickBot="1">
      <c r="A55" s="68"/>
      <c r="B55" s="406"/>
      <c r="C55" s="406"/>
      <c r="D55" s="407"/>
      <c r="E55" s="399"/>
      <c r="F55" s="400"/>
      <c r="G55" s="400"/>
      <c r="H55" s="400"/>
      <c r="I55" s="401"/>
      <c r="J55" s="103" t="str">
        <f>IF(AND('[2]Mapa final'!$Y$66="Muy Baja",'[2]Mapa final'!$AA$66="Leve"),CONCATENATE("R10C",'[2]Mapa final'!$O$66),"")</f>
        <v/>
      </c>
      <c r="K55" s="104" t="str">
        <f>IF(AND('[2]Mapa final'!$Y$67="Muy Baja",'[2]Mapa final'!$AA$67="Leve"),CONCATENATE("R10C",'[2]Mapa final'!$O$67),"")</f>
        <v/>
      </c>
      <c r="L55" s="104" t="str">
        <f>IF(AND('[2]Mapa final'!$Y$68="Muy Baja",'[2]Mapa final'!$AA$68="Leve"),CONCATENATE("R10C",'[2]Mapa final'!$O$68),"")</f>
        <v/>
      </c>
      <c r="M55" s="104" t="str">
        <f>IF(AND('[2]Mapa final'!$Y$69="Muy Baja",'[2]Mapa final'!$AA$69="Leve"),CONCATENATE("R10C",'[2]Mapa final'!$O$69),"")</f>
        <v/>
      </c>
      <c r="N55" s="104" t="str">
        <f>IF(AND('[2]Mapa final'!$Y$70="Muy Baja",'[2]Mapa final'!$AA$70="Leve"),CONCATENATE("R10C",'[2]Mapa final'!$O$70),"")</f>
        <v/>
      </c>
      <c r="O55" s="105" t="str">
        <f>IF(AND('[2]Mapa final'!$Y$71="Muy Baja",'[2]Mapa final'!$AA$71="Leve"),CONCATENATE("R10C",'[2]Mapa final'!$O$71),"")</f>
        <v/>
      </c>
      <c r="P55" s="103" t="str">
        <f>IF(AND('[2]Mapa final'!$Y$66="Muy Baja",'[2]Mapa final'!$AA$66="Menor"),CONCATENATE("R10C",'[2]Mapa final'!$O$66),"")</f>
        <v/>
      </c>
      <c r="Q55" s="104" t="str">
        <f>IF(AND('[2]Mapa final'!$Y$67="Muy Baja",'[2]Mapa final'!$AA$67="Menor"),CONCATENATE("R10C",'[2]Mapa final'!$O$67),"")</f>
        <v/>
      </c>
      <c r="R55" s="104" t="str">
        <f>IF(AND('[2]Mapa final'!$Y$68="Muy Baja",'[2]Mapa final'!$AA$68="Menor"),CONCATENATE("R10C",'[2]Mapa final'!$O$68),"")</f>
        <v/>
      </c>
      <c r="S55" s="104" t="str">
        <f>IF(AND('[2]Mapa final'!$Y$69="Muy Baja",'[2]Mapa final'!$AA$69="Menor"),CONCATENATE("R10C",'[2]Mapa final'!$O$69),"")</f>
        <v/>
      </c>
      <c r="T55" s="104" t="str">
        <f>IF(AND('[2]Mapa final'!$Y$70="Muy Baja",'[2]Mapa final'!$AA$70="Menor"),CONCATENATE("R10C",'[2]Mapa final'!$O$70),"")</f>
        <v/>
      </c>
      <c r="U55" s="105" t="str">
        <f>IF(AND('[2]Mapa final'!$Y$71="Muy Baja",'[2]Mapa final'!$AA$71="Menor"),CONCATENATE("R10C",'[2]Mapa final'!$O$71),"")</f>
        <v/>
      </c>
      <c r="V55" s="94" t="str">
        <f>IF(AND('[2]Mapa final'!$Y$66="Muy Baja",'[2]Mapa final'!$AA$66="Moderado"),CONCATENATE("R10C",'[2]Mapa final'!$O$66),"")</f>
        <v/>
      </c>
      <c r="W55" s="95" t="str">
        <f>IF(AND('[2]Mapa final'!$Y$67="Muy Baja",'[2]Mapa final'!$AA$67="Moderado"),CONCATENATE("R10C",'[2]Mapa final'!$O$67),"")</f>
        <v/>
      </c>
      <c r="X55" s="95" t="str">
        <f>IF(AND('[2]Mapa final'!$Y$68="Muy Baja",'[2]Mapa final'!$AA$68="Moderado"),CONCATENATE("R10C",'[2]Mapa final'!$O$68),"")</f>
        <v/>
      </c>
      <c r="Y55" s="95" t="str">
        <f>IF(AND('[2]Mapa final'!$Y$69="Muy Baja",'[2]Mapa final'!$AA$69="Moderado"),CONCATENATE("R10C",'[2]Mapa final'!$O$69),"")</f>
        <v/>
      </c>
      <c r="Z55" s="95" t="str">
        <f>IF(AND('[2]Mapa final'!$Y$70="Muy Baja",'[2]Mapa final'!$AA$70="Moderado"),CONCATENATE("R10C",'[2]Mapa final'!$O$70),"")</f>
        <v/>
      </c>
      <c r="AA55" s="96" t="str">
        <f>IF(AND('[2]Mapa final'!$Y$71="Muy Baja",'[2]Mapa final'!$AA$71="Moderado"),CONCATENATE("R10C",'[2]Mapa final'!$O$71),"")</f>
        <v/>
      </c>
      <c r="AB55" s="82" t="str">
        <f>IF(AND('[2]Mapa final'!$Y$66="Muy Baja",'[2]Mapa final'!$AA$66="Mayor"),CONCATENATE("R10C",'[2]Mapa final'!$O$66),"")</f>
        <v/>
      </c>
      <c r="AC55" s="83" t="str">
        <f>IF(AND('[2]Mapa final'!$Y$67="Muy Baja",'[2]Mapa final'!$AA$67="Mayor"),CONCATENATE("R10C",'[2]Mapa final'!$O$67),"")</f>
        <v/>
      </c>
      <c r="AD55" s="83" t="str">
        <f>IF(AND('[2]Mapa final'!$Y$68="Muy Baja",'[2]Mapa final'!$AA$68="Mayor"),CONCATENATE("R10C",'[2]Mapa final'!$O$68),"")</f>
        <v/>
      </c>
      <c r="AE55" s="83" t="str">
        <f>IF(AND('[2]Mapa final'!$Y$69="Muy Baja",'[2]Mapa final'!$AA$69="Mayor"),CONCATENATE("R10C",'[2]Mapa final'!$O$69),"")</f>
        <v/>
      </c>
      <c r="AF55" s="83" t="str">
        <f>IF(AND('[2]Mapa final'!$Y$70="Muy Baja",'[2]Mapa final'!$AA$70="Mayor"),CONCATENATE("R10C",'[2]Mapa final'!$O$70),"")</f>
        <v/>
      </c>
      <c r="AG55" s="84" t="str">
        <f>IF(AND('[2]Mapa final'!$Y$71="Muy Baja",'[2]Mapa final'!$AA$71="Mayor"),CONCATENATE("R10C",'[2]Mapa final'!$O$71),"")</f>
        <v/>
      </c>
      <c r="AH55" s="85" t="str">
        <f>IF(AND('[2]Mapa final'!$Y$66="Muy Baja",'[2]Mapa final'!$AA$66="Catastrófico"),CONCATENATE("R10C",'[2]Mapa final'!$O$66),"")</f>
        <v/>
      </c>
      <c r="AI55" s="86" t="str">
        <f>IF(AND('[2]Mapa final'!$Y$67="Muy Baja",'[2]Mapa final'!$AA$67="Catastrófico"),CONCATENATE("R10C",'[2]Mapa final'!$O$67),"")</f>
        <v/>
      </c>
      <c r="AJ55" s="86" t="str">
        <f>IF(AND('[2]Mapa final'!$Y$68="Muy Baja",'[2]Mapa final'!$AA$68="Catastrófico"),CONCATENATE("R10C",'[2]Mapa final'!$O$68),"")</f>
        <v/>
      </c>
      <c r="AK55" s="86" t="str">
        <f>IF(AND('[2]Mapa final'!$Y$69="Muy Baja",'[2]Mapa final'!$AA$69="Catastrófico"),CONCATENATE("R10C",'[2]Mapa final'!$O$69),"")</f>
        <v/>
      </c>
      <c r="AL55" s="86" t="str">
        <f>IF(AND('[2]Mapa final'!$Y$70="Muy Baja",'[2]Mapa final'!$AA$70="Catastrófico"),CONCATENATE("R10C",'[2]Mapa final'!$O$70),"")</f>
        <v/>
      </c>
      <c r="AM55" s="87" t="str">
        <f>IF(AND('[2]Mapa final'!$Y$71="Muy Baja",'[2]Mapa final'!$AA$71="Catastrófico"),CONCATENATE("R10C",'[2]Mapa final'!$O$71),"")</f>
        <v/>
      </c>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row>
    <row r="56" spans="1:80">
      <c r="A56" s="68"/>
      <c r="B56" s="68"/>
      <c r="C56" s="68"/>
      <c r="D56" s="68"/>
      <c r="E56" s="68"/>
      <c r="F56" s="68"/>
      <c r="G56" s="68"/>
      <c r="H56" s="68"/>
      <c r="I56" s="68"/>
      <c r="J56" s="393" t="s">
        <v>359</v>
      </c>
      <c r="K56" s="394"/>
      <c r="L56" s="394"/>
      <c r="M56" s="394"/>
      <c r="N56" s="394"/>
      <c r="O56" s="395"/>
      <c r="P56" s="393" t="s">
        <v>360</v>
      </c>
      <c r="Q56" s="394"/>
      <c r="R56" s="394"/>
      <c r="S56" s="394"/>
      <c r="T56" s="394"/>
      <c r="U56" s="395"/>
      <c r="V56" s="393" t="s">
        <v>361</v>
      </c>
      <c r="W56" s="394"/>
      <c r="X56" s="394"/>
      <c r="Y56" s="394"/>
      <c r="Z56" s="394"/>
      <c r="AA56" s="395"/>
      <c r="AB56" s="393" t="s">
        <v>362</v>
      </c>
      <c r="AC56" s="402"/>
      <c r="AD56" s="394"/>
      <c r="AE56" s="394"/>
      <c r="AF56" s="394"/>
      <c r="AG56" s="395"/>
      <c r="AH56" s="393" t="s">
        <v>363</v>
      </c>
      <c r="AI56" s="394"/>
      <c r="AJ56" s="394"/>
      <c r="AK56" s="394"/>
      <c r="AL56" s="394"/>
      <c r="AM56" s="395"/>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row>
    <row r="57" spans="1:80">
      <c r="A57" s="68"/>
      <c r="B57" s="68"/>
      <c r="C57" s="68"/>
      <c r="D57" s="68"/>
      <c r="E57" s="68"/>
      <c r="F57" s="68"/>
      <c r="G57" s="68"/>
      <c r="H57" s="68"/>
      <c r="I57" s="68"/>
      <c r="J57" s="396"/>
      <c r="K57" s="397"/>
      <c r="L57" s="397"/>
      <c r="M57" s="397"/>
      <c r="N57" s="397"/>
      <c r="O57" s="398"/>
      <c r="P57" s="396"/>
      <c r="Q57" s="397"/>
      <c r="R57" s="397"/>
      <c r="S57" s="397"/>
      <c r="T57" s="397"/>
      <c r="U57" s="398"/>
      <c r="V57" s="396"/>
      <c r="W57" s="397"/>
      <c r="X57" s="397"/>
      <c r="Y57" s="397"/>
      <c r="Z57" s="397"/>
      <c r="AA57" s="398"/>
      <c r="AB57" s="396"/>
      <c r="AC57" s="397"/>
      <c r="AD57" s="397"/>
      <c r="AE57" s="397"/>
      <c r="AF57" s="397"/>
      <c r="AG57" s="398"/>
      <c r="AH57" s="396"/>
      <c r="AI57" s="397"/>
      <c r="AJ57" s="397"/>
      <c r="AK57" s="397"/>
      <c r="AL57" s="397"/>
      <c r="AM57" s="39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row>
    <row r="58" spans="1:80">
      <c r="A58" s="68"/>
      <c r="B58" s="68"/>
      <c r="C58" s="68"/>
      <c r="D58" s="68"/>
      <c r="E58" s="68"/>
      <c r="F58" s="68"/>
      <c r="G58" s="68"/>
      <c r="H58" s="68"/>
      <c r="I58" s="68"/>
      <c r="J58" s="396"/>
      <c r="K58" s="397"/>
      <c r="L58" s="397"/>
      <c r="M58" s="397"/>
      <c r="N58" s="397"/>
      <c r="O58" s="398"/>
      <c r="P58" s="396"/>
      <c r="Q58" s="397"/>
      <c r="R58" s="397"/>
      <c r="S58" s="397"/>
      <c r="T58" s="397"/>
      <c r="U58" s="398"/>
      <c r="V58" s="396"/>
      <c r="W58" s="397"/>
      <c r="X58" s="397"/>
      <c r="Y58" s="397"/>
      <c r="Z58" s="397"/>
      <c r="AA58" s="398"/>
      <c r="AB58" s="396"/>
      <c r="AC58" s="397"/>
      <c r="AD58" s="397"/>
      <c r="AE58" s="397"/>
      <c r="AF58" s="397"/>
      <c r="AG58" s="398"/>
      <c r="AH58" s="396"/>
      <c r="AI58" s="397"/>
      <c r="AJ58" s="397"/>
      <c r="AK58" s="397"/>
      <c r="AL58" s="397"/>
      <c r="AM58" s="39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row>
    <row r="59" spans="1:80">
      <c r="A59" s="68"/>
      <c r="B59" s="68"/>
      <c r="C59" s="68"/>
      <c r="D59" s="68"/>
      <c r="E59" s="68"/>
      <c r="F59" s="68"/>
      <c r="G59" s="68"/>
      <c r="H59" s="68"/>
      <c r="I59" s="68"/>
      <c r="J59" s="396"/>
      <c r="K59" s="397"/>
      <c r="L59" s="397"/>
      <c r="M59" s="397"/>
      <c r="N59" s="397"/>
      <c r="O59" s="398"/>
      <c r="P59" s="396"/>
      <c r="Q59" s="397"/>
      <c r="R59" s="397"/>
      <c r="S59" s="397"/>
      <c r="T59" s="397"/>
      <c r="U59" s="398"/>
      <c r="V59" s="396"/>
      <c r="W59" s="397"/>
      <c r="X59" s="397"/>
      <c r="Y59" s="397"/>
      <c r="Z59" s="397"/>
      <c r="AA59" s="398"/>
      <c r="AB59" s="396"/>
      <c r="AC59" s="397"/>
      <c r="AD59" s="397"/>
      <c r="AE59" s="397"/>
      <c r="AF59" s="397"/>
      <c r="AG59" s="398"/>
      <c r="AH59" s="396"/>
      <c r="AI59" s="397"/>
      <c r="AJ59" s="397"/>
      <c r="AK59" s="397"/>
      <c r="AL59" s="397"/>
      <c r="AM59" s="39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row>
    <row r="60" spans="1:80">
      <c r="A60" s="68"/>
      <c r="B60" s="68"/>
      <c r="C60" s="68"/>
      <c r="D60" s="68"/>
      <c r="E60" s="68"/>
      <c r="F60" s="68"/>
      <c r="G60" s="68"/>
      <c r="H60" s="68"/>
      <c r="I60" s="68"/>
      <c r="J60" s="396"/>
      <c r="K60" s="397"/>
      <c r="L60" s="397"/>
      <c r="M60" s="397"/>
      <c r="N60" s="397"/>
      <c r="O60" s="398"/>
      <c r="P60" s="396"/>
      <c r="Q60" s="397"/>
      <c r="R60" s="397"/>
      <c r="S60" s="397"/>
      <c r="T60" s="397"/>
      <c r="U60" s="398"/>
      <c r="V60" s="396"/>
      <c r="W60" s="397"/>
      <c r="X60" s="397"/>
      <c r="Y60" s="397"/>
      <c r="Z60" s="397"/>
      <c r="AA60" s="398"/>
      <c r="AB60" s="396"/>
      <c r="AC60" s="397"/>
      <c r="AD60" s="397"/>
      <c r="AE60" s="397"/>
      <c r="AF60" s="397"/>
      <c r="AG60" s="398"/>
      <c r="AH60" s="396"/>
      <c r="AI60" s="397"/>
      <c r="AJ60" s="397"/>
      <c r="AK60" s="397"/>
      <c r="AL60" s="397"/>
      <c r="AM60" s="39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row>
    <row r="61" spans="1:80" ht="14.45" thickBot="1">
      <c r="A61" s="68"/>
      <c r="B61" s="68"/>
      <c r="C61" s="68"/>
      <c r="D61" s="68"/>
      <c r="E61" s="68"/>
      <c r="F61" s="68"/>
      <c r="G61" s="68"/>
      <c r="H61" s="68"/>
      <c r="I61" s="68"/>
      <c r="J61" s="399"/>
      <c r="K61" s="400"/>
      <c r="L61" s="400"/>
      <c r="M61" s="400"/>
      <c r="N61" s="400"/>
      <c r="O61" s="401"/>
      <c r="P61" s="399"/>
      <c r="Q61" s="400"/>
      <c r="R61" s="400"/>
      <c r="S61" s="400"/>
      <c r="T61" s="400"/>
      <c r="U61" s="401"/>
      <c r="V61" s="399"/>
      <c r="W61" s="400"/>
      <c r="X61" s="400"/>
      <c r="Y61" s="400"/>
      <c r="Z61" s="400"/>
      <c r="AA61" s="401"/>
      <c r="AB61" s="399"/>
      <c r="AC61" s="400"/>
      <c r="AD61" s="400"/>
      <c r="AE61" s="400"/>
      <c r="AF61" s="400"/>
      <c r="AG61" s="401"/>
      <c r="AH61" s="399"/>
      <c r="AI61" s="400"/>
      <c r="AJ61" s="400"/>
      <c r="AK61" s="400"/>
      <c r="AL61" s="400"/>
      <c r="AM61" s="401"/>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row>
    <row r="62" spans="1:80">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row>
    <row r="63" spans="1:80" ht="15" customHeight="1">
      <c r="A63" s="68"/>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8"/>
      <c r="AV63" s="68"/>
      <c r="AW63" s="68"/>
      <c r="AX63" s="68"/>
      <c r="AY63" s="68"/>
      <c r="AZ63" s="68"/>
      <c r="BA63" s="68"/>
      <c r="BB63" s="68"/>
      <c r="BC63" s="68"/>
      <c r="BD63" s="68"/>
      <c r="BE63" s="68"/>
      <c r="BF63" s="68"/>
      <c r="BG63" s="68"/>
      <c r="BH63" s="68"/>
    </row>
    <row r="64" spans="1:80" ht="15" customHeight="1">
      <c r="A64" s="68"/>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8"/>
      <c r="AV64" s="68"/>
      <c r="AW64" s="68"/>
      <c r="AX64" s="68"/>
      <c r="AY64" s="68"/>
      <c r="AZ64" s="68"/>
      <c r="BA64" s="68"/>
      <c r="BB64" s="68"/>
      <c r="BC64" s="68"/>
      <c r="BD64" s="68"/>
      <c r="BE64" s="68"/>
      <c r="BF64" s="68"/>
      <c r="BG64" s="68"/>
      <c r="BH64" s="68"/>
    </row>
    <row r="65" spans="1:60">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row>
    <row r="66" spans="1:60">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row>
    <row r="67" spans="1:60">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row>
    <row r="68" spans="1:60">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row>
    <row r="69" spans="1:60">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row>
    <row r="70" spans="1:60">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row>
    <row r="71" spans="1:60">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row>
    <row r="72" spans="1:60">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row>
    <row r="73" spans="1:60">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row>
    <row r="74" spans="1:60">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row>
    <row r="75" spans="1:60">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row>
    <row r="76" spans="1:60">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row>
    <row r="77" spans="1:60">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row>
    <row r="78" spans="1:60">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row>
    <row r="79" spans="1:60">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row>
    <row r="80" spans="1:60">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row>
    <row r="81" spans="1:60">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row>
    <row r="82" spans="1:60">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row>
    <row r="83" spans="1:60">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row>
    <row r="84" spans="1:60">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row>
    <row r="85" spans="1:60">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row>
    <row r="86" spans="1:60">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row>
    <row r="87" spans="1:60">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row>
    <row r="88" spans="1:60">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row>
    <row r="89" spans="1:60">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row>
    <row r="90" spans="1:60">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row>
    <row r="91" spans="1:60">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row>
    <row r="92" spans="1:60">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row>
    <row r="93" spans="1:60">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row>
    <row r="94" spans="1:60">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row>
    <row r="95" spans="1:60">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row>
    <row r="96" spans="1:60">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row>
    <row r="97" spans="1:60">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row>
    <row r="98" spans="1:60">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row>
    <row r="99" spans="1:60">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row>
    <row r="100" spans="1:60">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row>
    <row r="101" spans="1:60">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row>
    <row r="102" spans="1:60">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row>
    <row r="103" spans="1:60">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row>
    <row r="104" spans="1:60">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row>
    <row r="105" spans="1:60">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row>
    <row r="106" spans="1:60">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row>
    <row r="107" spans="1:60">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row>
    <row r="108" spans="1:60">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row>
    <row r="109" spans="1:60">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row>
    <row r="110" spans="1:60">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row>
    <row r="111" spans="1:60">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row>
    <row r="112" spans="1:60">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row>
    <row r="113" spans="1:60">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row>
    <row r="114" spans="1:60">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row>
    <row r="115" spans="1:60">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row>
    <row r="116" spans="1:60">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row>
    <row r="117" spans="1:60">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row>
    <row r="118" spans="1:60">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row>
    <row r="119" spans="1:60">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row>
    <row r="120" spans="1:60">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row>
    <row r="121" spans="1:60">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row>
    <row r="122" spans="1:60">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row>
    <row r="123" spans="1:60">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row>
    <row r="124" spans="1:60">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row>
    <row r="125" spans="1:60">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row>
    <row r="126" spans="1:60">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row>
    <row r="127" spans="1:60">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row>
    <row r="128" spans="1:60">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row>
    <row r="129" spans="1:60">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row>
    <row r="130" spans="1:60">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row>
    <row r="131" spans="1:60">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row>
    <row r="132" spans="1:60">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row>
    <row r="133" spans="1:60">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row>
    <row r="134" spans="1:60">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row>
    <row r="135" spans="1:60">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row>
    <row r="136" spans="1:60">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row>
    <row r="137" spans="1:60">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row>
    <row r="138" spans="1:60">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row>
    <row r="139" spans="1:60">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8"/>
      <c r="BG139" s="68"/>
      <c r="BH139" s="68"/>
    </row>
    <row r="140" spans="1:60">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row>
    <row r="141" spans="1:60">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8"/>
      <c r="BG141" s="68"/>
      <c r="BH141" s="68"/>
    </row>
    <row r="142" spans="1:60">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row>
    <row r="143" spans="1:60">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8"/>
      <c r="BG143" s="68"/>
      <c r="BH143" s="68"/>
    </row>
    <row r="144" spans="1:60">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8"/>
      <c r="BG144" s="68"/>
      <c r="BH144" s="68"/>
    </row>
    <row r="145" spans="1:60">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row>
    <row r="146" spans="1:60">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row>
    <row r="147" spans="1:60">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row>
    <row r="148" spans="1:60">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row>
    <row r="149" spans="1:60">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row>
    <row r="150" spans="1:60">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row>
    <row r="151" spans="1:60">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row>
    <row r="152" spans="1:60">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row>
    <row r="153" spans="1:60">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row>
    <row r="154" spans="1:60">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row>
    <row r="155" spans="1:60">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row>
    <row r="156" spans="1:60">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row>
    <row r="157" spans="1:60">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row>
    <row r="158" spans="1:60">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row>
    <row r="159" spans="1:60">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row>
    <row r="160" spans="1:60">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row>
    <row r="161" spans="1:60">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row>
    <row r="162" spans="1:60">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row>
    <row r="163" spans="1:60">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row>
    <row r="164" spans="1:60">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row>
    <row r="165" spans="1:60">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row>
    <row r="166" spans="1:60">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row>
    <row r="167" spans="1:60">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row>
    <row r="168" spans="1:60">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row>
    <row r="169" spans="1:60">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row>
    <row r="170" spans="1:60">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row>
    <row r="171" spans="1:60">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row>
    <row r="172" spans="1:60">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row>
    <row r="173" spans="1:60">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row>
    <row r="174" spans="1:60">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row>
    <row r="175" spans="1:60">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row>
    <row r="176" spans="1:60">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row>
    <row r="177" spans="1:60">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row>
    <row r="178" spans="1:60">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row>
    <row r="179" spans="1:60">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row>
    <row r="180" spans="1:60">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row>
    <row r="181" spans="1:60">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row>
    <row r="182" spans="1:60">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row>
    <row r="183" spans="1:60">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row>
    <row r="184" spans="1:60">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row>
    <row r="185" spans="1:60">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row>
    <row r="186" spans="1:60">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row>
    <row r="187" spans="1:60">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row>
    <row r="188" spans="1:60">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row>
    <row r="189" spans="1:60">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row>
    <row r="190" spans="1:60">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row>
    <row r="191" spans="1:60">
      <c r="A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row>
    <row r="192" spans="1:60">
      <c r="A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8"/>
      <c r="BG192" s="68"/>
      <c r="BH192" s="68"/>
    </row>
    <row r="193" spans="1:60">
      <c r="A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row>
    <row r="194" spans="1:60">
      <c r="A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row>
    <row r="195" spans="1:60">
      <c r="A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row>
    <row r="196" spans="1:60">
      <c r="A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row>
    <row r="197" spans="1:60">
      <c r="A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row>
    <row r="198" spans="1:60">
      <c r="A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row>
    <row r="199" spans="1:60">
      <c r="A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row>
    <row r="200" spans="1:60">
      <c r="A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row>
    <row r="201" spans="1:60">
      <c r="A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row>
    <row r="202" spans="1:60">
      <c r="A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row>
    <row r="203" spans="1:60">
      <c r="A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row>
    <row r="204" spans="1:60">
      <c r="A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row>
    <row r="205" spans="1:60">
      <c r="A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row>
    <row r="206" spans="1:60">
      <c r="A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row>
    <row r="207" spans="1:60">
      <c r="A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row>
    <row r="208" spans="1:60">
      <c r="A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row>
    <row r="209" spans="1:60">
      <c r="A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row>
    <row r="210" spans="1:60">
      <c r="A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row>
    <row r="211" spans="1:60">
      <c r="A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row>
    <row r="212" spans="1:60">
      <c r="A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row>
    <row r="213" spans="1:60">
      <c r="A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row>
    <row r="214" spans="1:60">
      <c r="A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row>
    <row r="215" spans="1:60">
      <c r="A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row>
    <row r="216" spans="1:60">
      <c r="A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row>
    <row r="217" spans="1:60">
      <c r="A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row>
    <row r="218" spans="1:60">
      <c r="A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row>
    <row r="219" spans="1:60">
      <c r="A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row>
    <row r="220" spans="1:60">
      <c r="A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row>
    <row r="221" spans="1:60">
      <c r="A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row>
    <row r="222" spans="1:60">
      <c r="A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row>
    <row r="223" spans="1:60">
      <c r="A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row>
    <row r="224" spans="1:60">
      <c r="A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row>
    <row r="225" spans="1:60">
      <c r="A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row>
    <row r="226" spans="1:60">
      <c r="A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row>
    <row r="227" spans="1:60">
      <c r="A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row>
    <row r="228" spans="1:60">
      <c r="A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row>
    <row r="229" spans="1:60">
      <c r="A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row>
    <row r="230" spans="1:60">
      <c r="A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row>
    <row r="231" spans="1:60">
      <c r="A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row>
    <row r="232" spans="1:60">
      <c r="A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row>
    <row r="233" spans="1:60">
      <c r="A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row>
    <row r="234" spans="1:60">
      <c r="A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row>
    <row r="235" spans="1:60">
      <c r="A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row>
    <row r="236" spans="1:60">
      <c r="A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row>
    <row r="237" spans="1:60">
      <c r="A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8"/>
      <c r="BG237" s="68"/>
      <c r="BH237" s="68"/>
    </row>
    <row r="238" spans="1:60">
      <c r="A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row>
    <row r="239" spans="1:60">
      <c r="A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8"/>
      <c r="BG239" s="68"/>
      <c r="BH239" s="68"/>
    </row>
    <row r="240" spans="1:60">
      <c r="A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row>
    <row r="241" spans="1:60">
      <c r="A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row>
    <row r="242" spans="1:60">
      <c r="A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row>
    <row r="243" spans="1:60">
      <c r="A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row>
    <row r="244" spans="1:60">
      <c r="A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row>
    <row r="245" spans="1:60">
      <c r="A245" s="68"/>
    </row>
    <row r="246" spans="1:60">
      <c r="A246" s="68"/>
    </row>
    <row r="247" spans="1:60">
      <c r="A247" s="68"/>
    </row>
    <row r="248" spans="1:60">
      <c r="A248" s="68"/>
    </row>
  </sheetData>
  <mergeCells count="17">
    <mergeCell ref="B2:I4"/>
    <mergeCell ref="J2:AM4"/>
    <mergeCell ref="B6:D55"/>
    <mergeCell ref="E6:I15"/>
    <mergeCell ref="AO6:AT15"/>
    <mergeCell ref="E16:I25"/>
    <mergeCell ref="AO16:AT25"/>
    <mergeCell ref="E26:I35"/>
    <mergeCell ref="AO26:AT35"/>
    <mergeCell ref="E36:I45"/>
    <mergeCell ref="AO36:AT45"/>
    <mergeCell ref="E46:I55"/>
    <mergeCell ref="J56:O61"/>
    <mergeCell ref="P56:U61"/>
    <mergeCell ref="V56:AA61"/>
    <mergeCell ref="AB56:AG61"/>
    <mergeCell ref="AH56:AM6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99C19-763F-4C09-B922-D4AFD933D0D3}">
  <dimension ref="E1:CY140"/>
  <sheetViews>
    <sheetView showGridLines="0" topLeftCell="F1" zoomScale="40" zoomScaleNormal="40" workbookViewId="0">
      <selection activeCell="F2" sqref="F2"/>
    </sheetView>
  </sheetViews>
  <sheetFormatPr defaultColWidth="10.85546875" defaultRowHeight="13.9"/>
  <cols>
    <col min="1" max="5" width="10.85546875" style="7"/>
    <col min="6" max="43" width="5.7109375" style="7" customWidth="1"/>
    <col min="44" max="44" width="10.85546875" style="7"/>
    <col min="45" max="50" width="5.7109375" style="7" customWidth="1"/>
    <col min="51" max="16384" width="10.85546875" style="7"/>
  </cols>
  <sheetData>
    <row r="1" spans="5:103">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row>
    <row r="2" spans="5:103" ht="18" customHeight="1">
      <c r="E2" s="68"/>
      <c r="F2" s="536" t="s">
        <v>364</v>
      </c>
      <c r="G2" s="536"/>
      <c r="H2" s="536"/>
      <c r="I2" s="536"/>
      <c r="J2" s="536"/>
      <c r="K2" s="536"/>
      <c r="L2" s="536"/>
      <c r="M2" s="536"/>
      <c r="N2" s="405" t="s">
        <v>348</v>
      </c>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row>
    <row r="3" spans="5:103" ht="18.75" customHeight="1">
      <c r="E3" s="68"/>
      <c r="F3" s="536"/>
      <c r="G3" s="536"/>
      <c r="H3" s="536"/>
      <c r="I3" s="536"/>
      <c r="J3" s="536"/>
      <c r="K3" s="536"/>
      <c r="L3" s="536"/>
      <c r="M3" s="536"/>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row>
    <row r="4" spans="5:103" ht="15" customHeight="1">
      <c r="E4" s="68"/>
      <c r="F4" s="536"/>
      <c r="G4" s="536"/>
      <c r="H4" s="536"/>
      <c r="I4" s="536"/>
      <c r="J4" s="536"/>
      <c r="K4" s="536"/>
      <c r="L4" s="536"/>
      <c r="M4" s="536"/>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row>
    <row r="5" spans="5:103" ht="14.45" thickBot="1">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row>
    <row r="6" spans="5:103" ht="15" customHeight="1">
      <c r="E6" s="68"/>
      <c r="F6" s="406" t="s">
        <v>349</v>
      </c>
      <c r="G6" s="406"/>
      <c r="H6" s="407"/>
      <c r="I6" s="445" t="s">
        <v>350</v>
      </c>
      <c r="J6" s="446"/>
      <c r="K6" s="446"/>
      <c r="L6" s="446"/>
      <c r="M6" s="447"/>
      <c r="N6" s="500" t="str">
        <f>IF(AND('[2]Mapa final'!$H$18="Muy Alta",'[2]Mapa final'!$L$18="Leve"),CONCATENATE("R",'[2]Mapa final'!$A$18),"")</f>
        <v/>
      </c>
      <c r="O6" s="501"/>
      <c r="P6" s="501"/>
      <c r="Q6" s="501"/>
      <c r="R6" s="501"/>
      <c r="S6" s="502"/>
      <c r="T6" s="500" t="str">
        <f>IF(AND('[2]Mapa final'!$H$12="Muy Alta",'[2]Mapa final'!$L$12="Menor"),CONCATENATE("R",'[2]Mapa final'!$A$12),"")</f>
        <v/>
      </c>
      <c r="U6" s="501"/>
      <c r="V6" s="501" t="str">
        <f>IF(AND('[2]Mapa final'!$H$18="Muy Alta",'[2]Mapa final'!$L$18="Menor"),CONCATENATE("R",'[2]Mapa final'!$A$18),"")</f>
        <v/>
      </c>
      <c r="W6" s="501"/>
      <c r="X6" s="501" t="str">
        <f>IF(AND('[2]Mapa final'!$H$24="Muy Alta",'[2]Mapa final'!$L$24="Menor"),CONCATENATE("R",'[2]Mapa final'!$A$24),"")</f>
        <v/>
      </c>
      <c r="Y6" s="502"/>
      <c r="Z6" s="500" t="str">
        <f>IF(AND('[2]Mapa final'!$H$12="Muy Alta",'[2]Mapa final'!$L$12="Moderado"),CONCATENATE("R",'[2]Mapa final'!$A$12),"")</f>
        <v/>
      </c>
      <c r="AA6" s="501"/>
      <c r="AB6" s="501" t="str">
        <f>IF(AND('[2]Mapa final'!$H$18="Muy Alta",'[2]Mapa final'!$L$18="Moderado"),CONCATENATE("R",'[2]Mapa final'!$A$18),"")</f>
        <v/>
      </c>
      <c r="AC6" s="501"/>
      <c r="AD6" s="501" t="str">
        <f>IF(AND('[2]Mapa final'!$H$24="Muy Alta",'[2]Mapa final'!$L$24="Moderado"),CONCATENATE("R",'[2]Mapa final'!$A$24),"")</f>
        <v/>
      </c>
      <c r="AE6" s="502"/>
      <c r="AF6" s="500" t="str">
        <f>IF(AND('[2]Mapa final'!$H$12="Muy Alta",'[2]Mapa final'!$L$12="Mayor"),CONCATENATE("R",'[2]Mapa final'!$A$12),"")</f>
        <v/>
      </c>
      <c r="AG6" s="501"/>
      <c r="AH6" s="501" t="str">
        <f>IF(AND('[2]Mapa final'!$H$18="Muy Alta",'[2]Mapa final'!$L$18="Mayor"),CONCATENATE("R",'[2]Mapa final'!$A$18),"")</f>
        <v/>
      </c>
      <c r="AI6" s="501"/>
      <c r="AJ6" s="501" t="str">
        <f>IF(AND('[2]Mapa final'!$H$24="Muy Alta",'[2]Mapa final'!$L$24="Mayor"),CONCATENATE("R",'[2]Mapa final'!$A$24),"")</f>
        <v/>
      </c>
      <c r="AK6" s="502"/>
      <c r="AL6" s="491" t="str">
        <f>IF(AND('[2]Mapa final'!$H$12="Muy Alta",'[2]Mapa final'!$L$12="Catastrófico"),CONCATENATE("R",'[2]Mapa final'!$A$12),"")</f>
        <v/>
      </c>
      <c r="AM6" s="492"/>
      <c r="AN6" s="492"/>
      <c r="AO6" s="492"/>
      <c r="AP6" s="492"/>
      <c r="AQ6" s="493"/>
      <c r="AS6" s="518" t="s">
        <v>351</v>
      </c>
      <c r="AT6" s="519"/>
      <c r="AU6" s="519"/>
      <c r="AV6" s="519"/>
      <c r="AW6" s="519"/>
      <c r="AX6" s="520"/>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row>
    <row r="7" spans="5:103" ht="15" customHeight="1">
      <c r="E7" s="68"/>
      <c r="F7" s="406"/>
      <c r="G7" s="406"/>
      <c r="H7" s="407"/>
      <c r="I7" s="448"/>
      <c r="J7" s="449"/>
      <c r="K7" s="449"/>
      <c r="L7" s="449"/>
      <c r="M7" s="450"/>
      <c r="N7" s="503"/>
      <c r="O7" s="504"/>
      <c r="P7" s="504"/>
      <c r="Q7" s="504"/>
      <c r="R7" s="504"/>
      <c r="S7" s="505"/>
      <c r="T7" s="503"/>
      <c r="U7" s="504"/>
      <c r="V7" s="504"/>
      <c r="W7" s="504"/>
      <c r="X7" s="504"/>
      <c r="Y7" s="505"/>
      <c r="Z7" s="503"/>
      <c r="AA7" s="504"/>
      <c r="AB7" s="504"/>
      <c r="AC7" s="504"/>
      <c r="AD7" s="504"/>
      <c r="AE7" s="505"/>
      <c r="AF7" s="503"/>
      <c r="AG7" s="504"/>
      <c r="AH7" s="504"/>
      <c r="AI7" s="504"/>
      <c r="AJ7" s="504"/>
      <c r="AK7" s="505"/>
      <c r="AL7" s="494"/>
      <c r="AM7" s="495"/>
      <c r="AN7" s="495"/>
      <c r="AO7" s="495"/>
      <c r="AP7" s="495"/>
      <c r="AQ7" s="496"/>
      <c r="AR7" s="68"/>
      <c r="AS7" s="521"/>
      <c r="AT7" s="522"/>
      <c r="AU7" s="522"/>
      <c r="AV7" s="522"/>
      <c r="AW7" s="522"/>
      <c r="AX7" s="523"/>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row>
    <row r="8" spans="5:103" ht="15" customHeight="1">
      <c r="E8" s="68"/>
      <c r="F8" s="406"/>
      <c r="G8" s="406"/>
      <c r="H8" s="407"/>
      <c r="I8" s="448"/>
      <c r="J8" s="449"/>
      <c r="K8" s="449"/>
      <c r="L8" s="449"/>
      <c r="M8" s="450"/>
      <c r="N8" s="503"/>
      <c r="O8" s="504"/>
      <c r="P8" s="504"/>
      <c r="Q8" s="504"/>
      <c r="R8" s="504"/>
      <c r="S8" s="505"/>
      <c r="T8" s="503" t="str">
        <f>IF(AND('[2]Mapa final'!$H$30="Muy Alta",'[2]Mapa final'!$L$30="Menor"),CONCATENATE("R",'[2]Mapa final'!$A$30),"")</f>
        <v/>
      </c>
      <c r="U8" s="504"/>
      <c r="V8" s="504" t="str">
        <f>IF(AND('[2]Mapa final'!$H$36="Muy Alta",'[2]Mapa final'!$L$36="Menor"),CONCATENATE("R",'[2]Mapa final'!$A$36),"")</f>
        <v/>
      </c>
      <c r="W8" s="504"/>
      <c r="X8" s="504" t="str">
        <f>IF(AND('[2]Mapa final'!$H$42="Muy Alta",'[2]Mapa final'!$L$42="Menor"),CONCATENATE("R",'[2]Mapa final'!$A$42),"")</f>
        <v/>
      </c>
      <c r="Y8" s="505"/>
      <c r="Z8" s="503" t="str">
        <f>IF(AND('[2]Mapa final'!$H$30="Muy Alta",'[2]Mapa final'!$L$30="Moderado"),CONCATENATE("R",'[2]Mapa final'!$A$30),"")</f>
        <v/>
      </c>
      <c r="AA8" s="504"/>
      <c r="AB8" s="504" t="str">
        <f>IF(AND('[2]Mapa final'!$H$36="Muy Alta",'[2]Mapa final'!$L$36="Moderado"),CONCATENATE("R",'[2]Mapa final'!$A$36),"")</f>
        <v/>
      </c>
      <c r="AC8" s="504"/>
      <c r="AD8" s="504" t="str">
        <f>IF(AND('[2]Mapa final'!$H$42="Muy Alta",'[2]Mapa final'!$L$42="Moderado"),CONCATENATE("R",'[2]Mapa final'!$A$42),"")</f>
        <v/>
      </c>
      <c r="AE8" s="505"/>
      <c r="AF8" s="503" t="str">
        <f>IF(AND('[2]Mapa final'!$H$30="Muy Alta",'[2]Mapa final'!$L$30="Mayor"),CONCATENATE("R",'[2]Mapa final'!$A$30),"")</f>
        <v/>
      </c>
      <c r="AG8" s="504"/>
      <c r="AH8" s="504" t="str">
        <f>IF(AND('[2]Mapa final'!$H$36="Muy Alta",'[2]Mapa final'!$L$36="Mayor"),CONCATENATE("R",'[2]Mapa final'!$A$36),"")</f>
        <v/>
      </c>
      <c r="AI8" s="504"/>
      <c r="AJ8" s="504" t="str">
        <f>IF(AND('[2]Mapa final'!$H$42="Muy Alta",'[2]Mapa final'!$L$42="Mayor"),CONCATENATE("R",'[2]Mapa final'!$A$42),"")</f>
        <v/>
      </c>
      <c r="AK8" s="505"/>
      <c r="AL8" s="494"/>
      <c r="AM8" s="495"/>
      <c r="AN8" s="495"/>
      <c r="AO8" s="495"/>
      <c r="AP8" s="495"/>
      <c r="AQ8" s="496"/>
      <c r="AR8" s="68"/>
      <c r="AS8" s="521"/>
      <c r="AT8" s="522"/>
      <c r="AU8" s="522"/>
      <c r="AV8" s="522"/>
      <c r="AW8" s="522"/>
      <c r="AX8" s="523"/>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row>
    <row r="9" spans="5:103" ht="15" customHeight="1">
      <c r="E9" s="68"/>
      <c r="F9" s="406"/>
      <c r="G9" s="406"/>
      <c r="H9" s="407"/>
      <c r="I9" s="448"/>
      <c r="J9" s="449"/>
      <c r="K9" s="449"/>
      <c r="L9" s="449"/>
      <c r="M9" s="450"/>
      <c r="N9" s="503"/>
      <c r="O9" s="504"/>
      <c r="P9" s="504"/>
      <c r="Q9" s="504"/>
      <c r="R9" s="504"/>
      <c r="S9" s="505"/>
      <c r="T9" s="503"/>
      <c r="U9" s="504"/>
      <c r="V9" s="504"/>
      <c r="W9" s="504"/>
      <c r="X9" s="504"/>
      <c r="Y9" s="505"/>
      <c r="Z9" s="503"/>
      <c r="AA9" s="504"/>
      <c r="AB9" s="504"/>
      <c r="AC9" s="504"/>
      <c r="AD9" s="504"/>
      <c r="AE9" s="505"/>
      <c r="AF9" s="503"/>
      <c r="AG9" s="504"/>
      <c r="AH9" s="504"/>
      <c r="AI9" s="504"/>
      <c r="AJ9" s="504"/>
      <c r="AK9" s="505"/>
      <c r="AL9" s="494"/>
      <c r="AM9" s="495"/>
      <c r="AN9" s="495"/>
      <c r="AO9" s="495"/>
      <c r="AP9" s="495"/>
      <c r="AQ9" s="496"/>
      <c r="AR9" s="68"/>
      <c r="AS9" s="521"/>
      <c r="AT9" s="522"/>
      <c r="AU9" s="522"/>
      <c r="AV9" s="522"/>
      <c r="AW9" s="522"/>
      <c r="AX9" s="523"/>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row>
    <row r="10" spans="5:103" ht="15" customHeight="1">
      <c r="E10" s="68"/>
      <c r="F10" s="406"/>
      <c r="G10" s="406"/>
      <c r="H10" s="407"/>
      <c r="I10" s="448"/>
      <c r="J10" s="449"/>
      <c r="K10" s="449"/>
      <c r="L10" s="449"/>
      <c r="M10" s="450"/>
      <c r="N10" s="503"/>
      <c r="O10" s="504"/>
      <c r="P10" s="504"/>
      <c r="Q10" s="504"/>
      <c r="R10" s="504"/>
      <c r="S10" s="505"/>
      <c r="T10" s="503" t="str">
        <f>IF(AND('[2]Mapa final'!$H$48="Muy Alta",'[2]Mapa final'!$L$48="Menor"),CONCATENATE("R",'[2]Mapa final'!$A$48),"")</f>
        <v/>
      </c>
      <c r="U10" s="504"/>
      <c r="V10" s="504" t="str">
        <f>IF(AND('[2]Mapa final'!$H$54="Muy Alta",'[2]Mapa final'!$L$54="Menor"),CONCATENATE("R",'[2]Mapa final'!$A$54),"")</f>
        <v/>
      </c>
      <c r="W10" s="504"/>
      <c r="X10" s="504" t="str">
        <f>IF(AND('[2]Mapa final'!$H$60="Muy Alta",'[2]Mapa final'!$L$60="Menor"),CONCATENATE("R",'[2]Mapa final'!$A$60),"")</f>
        <v/>
      </c>
      <c r="Y10" s="505"/>
      <c r="Z10" s="503" t="str">
        <f>IF(AND('[2]Mapa final'!$H$48="Muy Alta",'[2]Mapa final'!$L$48="Moderado"),CONCATENATE("R",'[2]Mapa final'!$A$48),"")</f>
        <v/>
      </c>
      <c r="AA10" s="504"/>
      <c r="AB10" s="504" t="str">
        <f>IF(AND('[2]Mapa final'!$H$54="Muy Alta",'[2]Mapa final'!$L$54="Moderado"),CONCATENATE("R",'[2]Mapa final'!$A$54),"")</f>
        <v/>
      </c>
      <c r="AC10" s="504"/>
      <c r="AD10" s="504" t="str">
        <f>IF(AND('[2]Mapa final'!$H$60="Muy Alta",'[2]Mapa final'!$L$60="Moderado"),CONCATENATE("R",'[2]Mapa final'!$A$60),"")</f>
        <v/>
      </c>
      <c r="AE10" s="505"/>
      <c r="AF10" s="503" t="str">
        <f>IF(AND('[2]Mapa final'!$H$48="Muy Alta",'[2]Mapa final'!$L$48="Mayor"),CONCATENATE("R",'[2]Mapa final'!$A$48),"")</f>
        <v/>
      </c>
      <c r="AG10" s="504"/>
      <c r="AH10" s="504" t="str">
        <f>IF(AND('[2]Mapa final'!$H$54="Muy Alta",'[2]Mapa final'!$L$54="Mayor"),CONCATENATE("R",'[2]Mapa final'!$A$54),"")</f>
        <v/>
      </c>
      <c r="AI10" s="504"/>
      <c r="AJ10" s="504" t="str">
        <f>IF(AND('[2]Mapa final'!$H$60="Muy Alta",'[2]Mapa final'!$L$60="Mayor"),CONCATENATE("R",'[2]Mapa final'!$A$60),"")</f>
        <v/>
      </c>
      <c r="AK10" s="505"/>
      <c r="AL10" s="494"/>
      <c r="AM10" s="495"/>
      <c r="AN10" s="495"/>
      <c r="AO10" s="495"/>
      <c r="AP10" s="495"/>
      <c r="AQ10" s="496"/>
      <c r="AR10" s="68"/>
      <c r="AS10" s="521"/>
      <c r="AT10" s="522"/>
      <c r="AU10" s="522"/>
      <c r="AV10" s="522"/>
      <c r="AW10" s="522"/>
      <c r="AX10" s="523"/>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row>
    <row r="11" spans="5:103" ht="15" customHeight="1">
      <c r="E11" s="68"/>
      <c r="F11" s="406"/>
      <c r="G11" s="406"/>
      <c r="H11" s="407"/>
      <c r="I11" s="448"/>
      <c r="J11" s="449"/>
      <c r="K11" s="449"/>
      <c r="L11" s="449"/>
      <c r="M11" s="450"/>
      <c r="N11" s="503"/>
      <c r="O11" s="504"/>
      <c r="P11" s="504"/>
      <c r="Q11" s="504"/>
      <c r="R11" s="504"/>
      <c r="S11" s="505"/>
      <c r="T11" s="503"/>
      <c r="U11" s="504"/>
      <c r="V11" s="504"/>
      <c r="W11" s="504"/>
      <c r="X11" s="504"/>
      <c r="Y11" s="505"/>
      <c r="Z11" s="503"/>
      <c r="AA11" s="504"/>
      <c r="AB11" s="504"/>
      <c r="AC11" s="504"/>
      <c r="AD11" s="504"/>
      <c r="AE11" s="505"/>
      <c r="AF11" s="503"/>
      <c r="AG11" s="504"/>
      <c r="AH11" s="504"/>
      <c r="AI11" s="504"/>
      <c r="AJ11" s="504"/>
      <c r="AK11" s="505"/>
      <c r="AL11" s="494"/>
      <c r="AM11" s="495"/>
      <c r="AN11" s="495"/>
      <c r="AO11" s="495"/>
      <c r="AP11" s="495"/>
      <c r="AQ11" s="496"/>
      <c r="AR11" s="68"/>
      <c r="AS11" s="521"/>
      <c r="AT11" s="522"/>
      <c r="AU11" s="522"/>
      <c r="AV11" s="522"/>
      <c r="AW11" s="522"/>
      <c r="AX11" s="523"/>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row>
    <row r="12" spans="5:103" ht="15" customHeight="1">
      <c r="E12" s="68"/>
      <c r="F12" s="406"/>
      <c r="G12" s="406"/>
      <c r="H12" s="407"/>
      <c r="I12" s="448"/>
      <c r="J12" s="449"/>
      <c r="K12" s="449"/>
      <c r="L12" s="449"/>
      <c r="M12" s="450"/>
      <c r="N12" s="503"/>
      <c r="O12" s="504"/>
      <c r="P12" s="504"/>
      <c r="Q12" s="504"/>
      <c r="R12" s="504"/>
      <c r="S12" s="505"/>
      <c r="T12" s="503" t="str">
        <f>IF(AND('[2]Mapa final'!$H$66="Muy Alta",'[2]Mapa final'!$L$66="Menor"),CONCATENATE("R",'[2]Mapa final'!$A$66),"")</f>
        <v/>
      </c>
      <c r="U12" s="504"/>
      <c r="V12" s="504" t="e">
        <f>IF(AND('[2]Mapa final'!$H$72="Muy Alta",'[2]Mapa final'!$L$72="Menor"),CONCATENATE("R",'[2]Mapa final'!#REF!),"")</f>
        <v>#REF!</v>
      </c>
      <c r="W12" s="504"/>
      <c r="X12" s="504" t="e">
        <f>IF(AND('[2]Mapa final'!$H$79="Muy Alta",'[2]Mapa final'!$L$79="Menor"),CONCATENATE("R",'[2]Mapa final'!$A$79),"")</f>
        <v>#REF!</v>
      </c>
      <c r="Y12" s="505"/>
      <c r="Z12" s="503" t="str">
        <f>IF(AND('[2]Mapa final'!$H$66="Muy Alta",'[2]Mapa final'!$L$66="Moderado"),CONCATENATE("R",'[2]Mapa final'!$A$66),"")</f>
        <v/>
      </c>
      <c r="AA12" s="504"/>
      <c r="AB12" s="504" t="e">
        <f>IF(AND('[2]Mapa final'!$H$72="Muy Alta",'[2]Mapa final'!$L$72="Moderado"),CONCATENATE("R",'[2]Mapa final'!#REF!),"")</f>
        <v>#REF!</v>
      </c>
      <c r="AC12" s="504"/>
      <c r="AD12" s="504" t="e">
        <f>IF(AND('[2]Mapa final'!$H$79="Muy Alta",'[2]Mapa final'!$L$79="Moderado"),CONCATENATE("R",'[2]Mapa final'!$A$79),"")</f>
        <v>#REF!</v>
      </c>
      <c r="AE12" s="505"/>
      <c r="AF12" s="503" t="str">
        <f>IF(AND('[2]Mapa final'!$H$66="Muy Alta",'[2]Mapa final'!$L$66="Mayor"),CONCATENATE("R",'[2]Mapa final'!$A$66),"")</f>
        <v/>
      </c>
      <c r="AG12" s="504"/>
      <c r="AH12" s="504" t="e">
        <f>IF(AND('[2]Mapa final'!$H$72="Muy Alta",'[2]Mapa final'!$L$72="Mayor"),CONCATENATE("R",'[2]Mapa final'!#REF!),"")</f>
        <v>#REF!</v>
      </c>
      <c r="AI12" s="504"/>
      <c r="AJ12" s="504" t="e">
        <f>IF(AND('[2]Mapa final'!$H$79="Muy Alta",'[2]Mapa final'!$L$79="Mayor"),CONCATENATE("R",'[2]Mapa final'!$A$79),"")</f>
        <v>#REF!</v>
      </c>
      <c r="AK12" s="505"/>
      <c r="AL12" s="494"/>
      <c r="AM12" s="495"/>
      <c r="AN12" s="495"/>
      <c r="AO12" s="495"/>
      <c r="AP12" s="495"/>
      <c r="AQ12" s="496"/>
      <c r="AR12" s="68"/>
      <c r="AS12" s="521"/>
      <c r="AT12" s="522"/>
      <c r="AU12" s="522"/>
      <c r="AV12" s="522"/>
      <c r="AW12" s="522"/>
      <c r="AX12" s="523"/>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row>
    <row r="13" spans="5:103" ht="15.75" customHeight="1" thickBot="1">
      <c r="E13" s="68"/>
      <c r="F13" s="406"/>
      <c r="G13" s="406"/>
      <c r="H13" s="407"/>
      <c r="I13" s="451"/>
      <c r="J13" s="452"/>
      <c r="K13" s="452"/>
      <c r="L13" s="452"/>
      <c r="M13" s="453"/>
      <c r="N13" s="506"/>
      <c r="O13" s="507"/>
      <c r="P13" s="507"/>
      <c r="Q13" s="507"/>
      <c r="R13" s="507"/>
      <c r="S13" s="508"/>
      <c r="T13" s="506"/>
      <c r="U13" s="507"/>
      <c r="V13" s="507"/>
      <c r="W13" s="507"/>
      <c r="X13" s="507"/>
      <c r="Y13" s="508"/>
      <c r="Z13" s="506"/>
      <c r="AA13" s="507"/>
      <c r="AB13" s="507"/>
      <c r="AC13" s="507"/>
      <c r="AD13" s="507"/>
      <c r="AE13" s="508"/>
      <c r="AF13" s="506"/>
      <c r="AG13" s="507"/>
      <c r="AH13" s="507"/>
      <c r="AI13" s="507"/>
      <c r="AJ13" s="507"/>
      <c r="AK13" s="508"/>
      <c r="AL13" s="497"/>
      <c r="AM13" s="498"/>
      <c r="AN13" s="498"/>
      <c r="AO13" s="498"/>
      <c r="AP13" s="498"/>
      <c r="AQ13" s="499"/>
      <c r="AR13" s="68"/>
      <c r="AS13" s="524"/>
      <c r="AT13" s="525"/>
      <c r="AU13" s="525"/>
      <c r="AV13" s="525"/>
      <c r="AW13" s="525"/>
      <c r="AX13" s="526"/>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row>
    <row r="14" spans="5:103" ht="15" customHeight="1">
      <c r="E14" s="68"/>
      <c r="F14" s="406"/>
      <c r="G14" s="406"/>
      <c r="H14" s="407"/>
      <c r="I14" s="445" t="s">
        <v>352</v>
      </c>
      <c r="J14" s="446"/>
      <c r="K14" s="446"/>
      <c r="L14" s="446"/>
      <c r="M14" s="446"/>
      <c r="N14" s="455" t="str">
        <f>IF(AND('[2]Mapa final'!$H$12="Alta",'[2]Mapa final'!$L$12="Leve"),CONCATENATE("R",'[2]Mapa final'!$A$12),"")</f>
        <v/>
      </c>
      <c r="O14" s="456"/>
      <c r="P14" s="456"/>
      <c r="Q14" s="456"/>
      <c r="R14" s="456"/>
      <c r="S14" s="457"/>
      <c r="T14" s="455" t="str">
        <f>IF(AND('[2]Mapa final'!$H$12="Alta",'[2]Mapa final'!$L$12="Menor"),CONCATENATE("R",'[2]Mapa final'!$A$12),"")</f>
        <v/>
      </c>
      <c r="U14" s="456"/>
      <c r="V14" s="456" t="str">
        <f>IF(AND('[2]Mapa final'!$H$18="Alta",'[2]Mapa final'!$L$18="Menor"),CONCATENATE("R",'[2]Mapa final'!$A$18),"")</f>
        <v/>
      </c>
      <c r="W14" s="456"/>
      <c r="X14" s="456" t="str">
        <f>IF(AND('[2]Mapa final'!$H$24="Alta",'[2]Mapa final'!$L$24="Menor"),CONCATENATE("R",'[2]Mapa final'!$A$24),"")</f>
        <v/>
      </c>
      <c r="Y14" s="457"/>
      <c r="Z14" s="500" t="str">
        <f>IF(AND('[2]Mapa final'!$H$12="Alta",'[2]Mapa final'!$L$12="Moderado"),CONCATENATE("R",'[2]Mapa final'!$A$12),"")</f>
        <v/>
      </c>
      <c r="AA14" s="501"/>
      <c r="AB14" s="501" t="str">
        <f>IF(AND('[2]Mapa final'!$H$18="Alta",'[2]Mapa final'!$L$18="Moderado"),CONCATENATE("R",'[2]Mapa final'!$A$18),"")</f>
        <v/>
      </c>
      <c r="AC14" s="501"/>
      <c r="AD14" s="501" t="str">
        <f>IF(AND('[2]Mapa final'!$H$24="Alta",'[2]Mapa final'!$L$24="Moderado"),CONCATENATE("R",'[2]Mapa final'!$A$24),"")</f>
        <v/>
      </c>
      <c r="AE14" s="502"/>
      <c r="AF14" s="500"/>
      <c r="AG14" s="501"/>
      <c r="AH14" s="501"/>
      <c r="AI14" s="501"/>
      <c r="AJ14" s="501"/>
      <c r="AK14" s="502"/>
      <c r="AL14" s="491" t="str">
        <f>IF(AND('[2]Mapa final'!$H$12="Alta",'[2]Mapa final'!$L$12="Catastrófico"),CONCATENATE("R",'[2]Mapa final'!$A$12),"")</f>
        <v/>
      </c>
      <c r="AM14" s="492"/>
      <c r="AN14" s="492" t="str">
        <f>IF(AND('[2]Mapa final'!$H$18="Alta",'[2]Mapa final'!$L$18="Catastrófico"),CONCATENATE("R",'[2]Mapa final'!$A$18),"")</f>
        <v/>
      </c>
      <c r="AO14" s="492"/>
      <c r="AP14" s="492" t="str">
        <f>IF(AND('[2]Mapa final'!$H$24="Alta",'[2]Mapa final'!$L$24="Catastrófico"),CONCATENATE("R",'[2]Mapa final'!$A$24),"")</f>
        <v/>
      </c>
      <c r="AQ14" s="493"/>
      <c r="AR14" s="68"/>
      <c r="AS14" s="527" t="s">
        <v>353</v>
      </c>
      <c r="AT14" s="528"/>
      <c r="AU14" s="528"/>
      <c r="AV14" s="528"/>
      <c r="AW14" s="528"/>
      <c r="AX14" s="529"/>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row>
    <row r="15" spans="5:103" ht="15" customHeight="1">
      <c r="E15" s="68"/>
      <c r="F15" s="406"/>
      <c r="G15" s="406"/>
      <c r="H15" s="407"/>
      <c r="I15" s="448"/>
      <c r="J15" s="449"/>
      <c r="K15" s="449"/>
      <c r="L15" s="449"/>
      <c r="M15" s="449"/>
      <c r="N15" s="458"/>
      <c r="O15" s="459"/>
      <c r="P15" s="459"/>
      <c r="Q15" s="459"/>
      <c r="R15" s="459"/>
      <c r="S15" s="460"/>
      <c r="T15" s="458"/>
      <c r="U15" s="459"/>
      <c r="V15" s="459"/>
      <c r="W15" s="459"/>
      <c r="X15" s="459"/>
      <c r="Y15" s="460"/>
      <c r="Z15" s="503"/>
      <c r="AA15" s="504"/>
      <c r="AB15" s="504"/>
      <c r="AC15" s="504"/>
      <c r="AD15" s="504"/>
      <c r="AE15" s="505"/>
      <c r="AF15" s="503"/>
      <c r="AG15" s="504"/>
      <c r="AH15" s="504"/>
      <c r="AI15" s="504"/>
      <c r="AJ15" s="504"/>
      <c r="AK15" s="505"/>
      <c r="AL15" s="494"/>
      <c r="AM15" s="495"/>
      <c r="AN15" s="495"/>
      <c r="AO15" s="495"/>
      <c r="AP15" s="495"/>
      <c r="AQ15" s="496"/>
      <c r="AR15" s="68"/>
      <c r="AS15" s="530"/>
      <c r="AT15" s="531"/>
      <c r="AU15" s="531"/>
      <c r="AV15" s="531"/>
      <c r="AW15" s="531"/>
      <c r="AX15" s="532"/>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row>
    <row r="16" spans="5:103" ht="15" customHeight="1">
      <c r="E16" s="68"/>
      <c r="F16" s="406"/>
      <c r="G16" s="406"/>
      <c r="H16" s="407"/>
      <c r="I16" s="448"/>
      <c r="J16" s="449"/>
      <c r="K16" s="449"/>
      <c r="L16" s="449"/>
      <c r="M16" s="449"/>
      <c r="N16" s="458"/>
      <c r="O16" s="459"/>
      <c r="P16" s="459"/>
      <c r="Q16" s="459"/>
      <c r="R16" s="459"/>
      <c r="S16" s="460"/>
      <c r="T16" s="458" t="str">
        <f>IF(AND('[2]Mapa final'!$H$30="Alta",'[2]Mapa final'!$L$30="Menor"),CONCATENATE("R",'[2]Mapa final'!$A$30),"")</f>
        <v/>
      </c>
      <c r="U16" s="459"/>
      <c r="V16" s="459" t="str">
        <f>IF(AND('[2]Mapa final'!$H$36="Alta",'[2]Mapa final'!$L$36="Menor"),CONCATENATE("R",'[2]Mapa final'!$A$36),"")</f>
        <v/>
      </c>
      <c r="W16" s="459"/>
      <c r="X16" s="459" t="str">
        <f>IF(AND('[2]Mapa final'!$H$42="Alta",'[2]Mapa final'!$L$42="Menor"),CONCATENATE("R",'[2]Mapa final'!$A$42),"")</f>
        <v/>
      </c>
      <c r="Y16" s="460"/>
      <c r="Z16" s="503" t="str">
        <f>IF(AND('[2]Mapa final'!$H$30="Alta",'[2]Mapa final'!$L$30="Moderado"),CONCATENATE("R",'[2]Mapa final'!$A$30),"")</f>
        <v/>
      </c>
      <c r="AA16" s="504"/>
      <c r="AB16" s="504" t="str">
        <f>IF(AND('[2]Mapa final'!$H$36="Alta",'[2]Mapa final'!$L$36="Moderado"),CONCATENATE("R",'[2]Mapa final'!$A$36),"")</f>
        <v/>
      </c>
      <c r="AC16" s="504"/>
      <c r="AD16" s="504" t="str">
        <f>IF(AND('[2]Mapa final'!$H$42="Alta",'[2]Mapa final'!$L$42="Moderado"),CONCATENATE("R",'[2]Mapa final'!$A$42),"")</f>
        <v/>
      </c>
      <c r="AE16" s="505"/>
      <c r="AF16" s="503"/>
      <c r="AG16" s="504"/>
      <c r="AH16" s="504"/>
      <c r="AI16" s="504"/>
      <c r="AJ16" s="504"/>
      <c r="AK16" s="505"/>
      <c r="AL16" s="494" t="str">
        <f>IF(AND('[2]Mapa final'!$H$30="Alta",'[2]Mapa final'!$L$30="Catastrófico"),CONCATENATE("R",'[2]Mapa final'!$A$30),"")</f>
        <v/>
      </c>
      <c r="AM16" s="495"/>
      <c r="AN16" s="495" t="str">
        <f>IF(AND('[2]Mapa final'!$H$36="Alta",'[2]Mapa final'!$L$36="Catastrófico"),CONCATENATE("R",'[2]Mapa final'!$A$36),"")</f>
        <v/>
      </c>
      <c r="AO16" s="495"/>
      <c r="AP16" s="495" t="str">
        <f>IF(AND('[2]Mapa final'!$H$42="Alta",'[2]Mapa final'!$L$42="Catastrófico"),CONCATENATE("R",'[2]Mapa final'!$A$42),"")</f>
        <v/>
      </c>
      <c r="AQ16" s="496"/>
      <c r="AR16" s="68"/>
      <c r="AS16" s="530"/>
      <c r="AT16" s="531"/>
      <c r="AU16" s="531"/>
      <c r="AV16" s="531"/>
      <c r="AW16" s="531"/>
      <c r="AX16" s="532"/>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row>
    <row r="17" spans="5:84" ht="15" customHeight="1">
      <c r="E17" s="68"/>
      <c r="F17" s="406"/>
      <c r="G17" s="406"/>
      <c r="H17" s="407"/>
      <c r="I17" s="448"/>
      <c r="J17" s="449"/>
      <c r="K17" s="449"/>
      <c r="L17" s="449"/>
      <c r="M17" s="449"/>
      <c r="N17" s="458"/>
      <c r="O17" s="459"/>
      <c r="P17" s="459"/>
      <c r="Q17" s="459"/>
      <c r="R17" s="459"/>
      <c r="S17" s="460"/>
      <c r="T17" s="458"/>
      <c r="U17" s="459"/>
      <c r="V17" s="459"/>
      <c r="W17" s="459"/>
      <c r="X17" s="459"/>
      <c r="Y17" s="460"/>
      <c r="Z17" s="503"/>
      <c r="AA17" s="504"/>
      <c r="AB17" s="504"/>
      <c r="AC17" s="504"/>
      <c r="AD17" s="504"/>
      <c r="AE17" s="505"/>
      <c r="AF17" s="503"/>
      <c r="AG17" s="504"/>
      <c r="AH17" s="504"/>
      <c r="AI17" s="504"/>
      <c r="AJ17" s="504"/>
      <c r="AK17" s="505"/>
      <c r="AL17" s="494"/>
      <c r="AM17" s="495"/>
      <c r="AN17" s="495"/>
      <c r="AO17" s="495"/>
      <c r="AP17" s="495"/>
      <c r="AQ17" s="496"/>
      <c r="AR17" s="68"/>
      <c r="AS17" s="530"/>
      <c r="AT17" s="531"/>
      <c r="AU17" s="531"/>
      <c r="AV17" s="531"/>
      <c r="AW17" s="531"/>
      <c r="AX17" s="532"/>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row>
    <row r="18" spans="5:84" ht="15" customHeight="1">
      <c r="E18" s="68"/>
      <c r="F18" s="406"/>
      <c r="G18" s="406"/>
      <c r="H18" s="407"/>
      <c r="I18" s="448"/>
      <c r="J18" s="449"/>
      <c r="K18" s="449"/>
      <c r="L18" s="449"/>
      <c r="M18" s="449"/>
      <c r="N18" s="458"/>
      <c r="O18" s="459"/>
      <c r="P18" s="459"/>
      <c r="Q18" s="459"/>
      <c r="R18" s="459"/>
      <c r="S18" s="460"/>
      <c r="T18" s="458" t="str">
        <f>IF(AND('[2]Mapa final'!$H$48="Alta",'[2]Mapa final'!$L$48="Menor"),CONCATENATE("R",'[2]Mapa final'!$A$48),"")</f>
        <v/>
      </c>
      <c r="U18" s="459"/>
      <c r="V18" s="459" t="str">
        <f>IF(AND('[2]Mapa final'!$H$54="Alta",'[2]Mapa final'!$L$54="Menor"),CONCATENATE("R",'[2]Mapa final'!$A$54),"")</f>
        <v/>
      </c>
      <c r="W18" s="459"/>
      <c r="X18" s="459" t="str">
        <f>IF(AND('[2]Mapa final'!$H$60="Alta",'[2]Mapa final'!$L$60="Menor"),CONCATENATE("R",'[2]Mapa final'!$A$60),"")</f>
        <v/>
      </c>
      <c r="Y18" s="460"/>
      <c r="Z18" s="503" t="str">
        <f>IF(AND('[2]Mapa final'!$H$48="Alta",'[2]Mapa final'!$L$48="Moderado"),CONCATENATE("R",'[2]Mapa final'!$A$48),"")</f>
        <v/>
      </c>
      <c r="AA18" s="504"/>
      <c r="AB18" s="504" t="str">
        <f>IF(AND('[2]Mapa final'!$H$54="Alta",'[2]Mapa final'!$L$54="Moderado"),CONCATENATE("R",'[2]Mapa final'!$A$54),"")</f>
        <v/>
      </c>
      <c r="AC18" s="504"/>
      <c r="AD18" s="504" t="str">
        <f>IF(AND('[2]Mapa final'!$H$60="Alta",'[2]Mapa final'!$L$60="Moderado"),CONCATENATE("R",'[2]Mapa final'!$A$60),"")</f>
        <v/>
      </c>
      <c r="AE18" s="505"/>
      <c r="AF18" s="503"/>
      <c r="AG18" s="504"/>
      <c r="AH18" s="504"/>
      <c r="AI18" s="504"/>
      <c r="AJ18" s="504"/>
      <c r="AK18" s="505"/>
      <c r="AL18" s="494" t="str">
        <f>IF(AND('[2]Mapa final'!$H$48="Alta",'[2]Mapa final'!$L$48="Catastrófico"),CONCATENATE("R",'[2]Mapa final'!$A$48),"")</f>
        <v/>
      </c>
      <c r="AM18" s="495"/>
      <c r="AN18" s="495" t="str">
        <f>IF(AND('[2]Mapa final'!$H$54="Alta",'[2]Mapa final'!$L$54="Catastrófico"),CONCATENATE("R",'[2]Mapa final'!$A$54),"")</f>
        <v/>
      </c>
      <c r="AO18" s="495"/>
      <c r="AP18" s="495" t="str">
        <f>IF(AND('[2]Mapa final'!$H$60="Alta",'[2]Mapa final'!$L$60="Catastrófico"),CONCATENATE("R",'[2]Mapa final'!$A$60),"")</f>
        <v/>
      </c>
      <c r="AQ18" s="496"/>
      <c r="AR18" s="68"/>
      <c r="AS18" s="530"/>
      <c r="AT18" s="531"/>
      <c r="AU18" s="531"/>
      <c r="AV18" s="531"/>
      <c r="AW18" s="531"/>
      <c r="AX18" s="532"/>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row>
    <row r="19" spans="5:84" ht="15" customHeight="1">
      <c r="E19" s="68"/>
      <c r="F19" s="406"/>
      <c r="G19" s="406"/>
      <c r="H19" s="407"/>
      <c r="I19" s="448"/>
      <c r="J19" s="449"/>
      <c r="K19" s="449"/>
      <c r="L19" s="449"/>
      <c r="M19" s="449"/>
      <c r="N19" s="458"/>
      <c r="O19" s="459"/>
      <c r="P19" s="459"/>
      <c r="Q19" s="459"/>
      <c r="R19" s="459"/>
      <c r="S19" s="460"/>
      <c r="T19" s="458"/>
      <c r="U19" s="459"/>
      <c r="V19" s="459"/>
      <c r="W19" s="459"/>
      <c r="X19" s="459"/>
      <c r="Y19" s="460"/>
      <c r="Z19" s="503"/>
      <c r="AA19" s="504"/>
      <c r="AB19" s="504"/>
      <c r="AC19" s="504"/>
      <c r="AD19" s="504"/>
      <c r="AE19" s="505"/>
      <c r="AF19" s="503"/>
      <c r="AG19" s="504"/>
      <c r="AH19" s="504"/>
      <c r="AI19" s="504"/>
      <c r="AJ19" s="504"/>
      <c r="AK19" s="505"/>
      <c r="AL19" s="494"/>
      <c r="AM19" s="495"/>
      <c r="AN19" s="495"/>
      <c r="AO19" s="495"/>
      <c r="AP19" s="495"/>
      <c r="AQ19" s="496"/>
      <c r="AR19" s="68"/>
      <c r="AS19" s="530"/>
      <c r="AT19" s="531"/>
      <c r="AU19" s="531"/>
      <c r="AV19" s="531"/>
      <c r="AW19" s="531"/>
      <c r="AX19" s="532"/>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row>
    <row r="20" spans="5:84" ht="15" customHeight="1">
      <c r="E20" s="68"/>
      <c r="F20" s="406"/>
      <c r="G20" s="406"/>
      <c r="H20" s="407"/>
      <c r="I20" s="448"/>
      <c r="J20" s="449"/>
      <c r="K20" s="449"/>
      <c r="L20" s="449"/>
      <c r="M20" s="449"/>
      <c r="N20" s="458"/>
      <c r="O20" s="459"/>
      <c r="P20" s="459"/>
      <c r="Q20" s="459"/>
      <c r="R20" s="459"/>
      <c r="S20" s="460"/>
      <c r="T20" s="458" t="str">
        <f>IF(AND('[2]Mapa final'!$H$66="Alta",'[2]Mapa final'!$L$66="Menor"),CONCATENATE("R",'[2]Mapa final'!$A$66),"")</f>
        <v/>
      </c>
      <c r="U20" s="459"/>
      <c r="V20" s="459" t="e">
        <f>IF(AND('[2]Mapa final'!$H$72="Alta",'[2]Mapa final'!$L$72="Menor"),CONCATENATE("R",'[2]Mapa final'!#REF!),"")</f>
        <v>#REF!</v>
      </c>
      <c r="W20" s="459"/>
      <c r="X20" s="459" t="e">
        <f>IF(AND('[2]Mapa final'!$H$79="Alta",'[2]Mapa final'!$L$79="Menor"),CONCATENATE("R",'[2]Mapa final'!$A$79),"")</f>
        <v>#REF!</v>
      </c>
      <c r="Y20" s="460"/>
      <c r="Z20" s="503" t="str">
        <f>IF(AND('[2]Mapa final'!$H$66="Alta",'[2]Mapa final'!$L$66="Moderado"),CONCATENATE("R",'[2]Mapa final'!$A$66),"")</f>
        <v/>
      </c>
      <c r="AA20" s="504"/>
      <c r="AB20" s="504" t="e">
        <f>IF(AND('[2]Mapa final'!$H$72="Alta",'[2]Mapa final'!$L$72="Moderado"),CONCATENATE("R",'[2]Mapa final'!#REF!),"")</f>
        <v>#REF!</v>
      </c>
      <c r="AC20" s="504"/>
      <c r="AD20" s="504" t="e">
        <f>IF(AND('[2]Mapa final'!$H$79="Alta",'[2]Mapa final'!$L$79="Moderado"),CONCATENATE("R",'[2]Mapa final'!$A$79),"")</f>
        <v>#REF!</v>
      </c>
      <c r="AE20" s="505"/>
      <c r="AF20" s="503"/>
      <c r="AG20" s="504"/>
      <c r="AH20" s="504"/>
      <c r="AI20" s="504"/>
      <c r="AJ20" s="504"/>
      <c r="AK20" s="505"/>
      <c r="AL20" s="494" t="str">
        <f>IF(AND('[2]Mapa final'!$H$66="Alta",'[2]Mapa final'!$L$66="Catastrófico"),CONCATENATE("R",'[2]Mapa final'!$A$66),"")</f>
        <v/>
      </c>
      <c r="AM20" s="495"/>
      <c r="AN20" s="495" t="e">
        <f>IF(AND('[2]Mapa final'!$H$72="Alta",'[2]Mapa final'!$L$72="Catastrófico"),CONCATENATE("R",'[2]Mapa final'!#REF!),"")</f>
        <v>#REF!</v>
      </c>
      <c r="AO20" s="495"/>
      <c r="AP20" s="495" t="e">
        <f>IF(AND('[2]Mapa final'!$H$79="Alta",'[2]Mapa final'!$L$79="Catastrófico"),CONCATENATE("R",'[2]Mapa final'!$A$79),"")</f>
        <v>#REF!</v>
      </c>
      <c r="AQ20" s="496"/>
      <c r="AR20" s="68"/>
      <c r="AS20" s="530"/>
      <c r="AT20" s="531"/>
      <c r="AU20" s="531"/>
      <c r="AV20" s="531"/>
      <c r="AW20" s="531"/>
      <c r="AX20" s="532"/>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row>
    <row r="21" spans="5:84" ht="15.75" customHeight="1" thickBot="1">
      <c r="E21" s="68"/>
      <c r="F21" s="406"/>
      <c r="G21" s="406"/>
      <c r="H21" s="407"/>
      <c r="I21" s="451"/>
      <c r="J21" s="452"/>
      <c r="K21" s="452"/>
      <c r="L21" s="452"/>
      <c r="M21" s="452"/>
      <c r="N21" s="461"/>
      <c r="O21" s="462"/>
      <c r="P21" s="462"/>
      <c r="Q21" s="462"/>
      <c r="R21" s="462"/>
      <c r="S21" s="463"/>
      <c r="T21" s="461"/>
      <c r="U21" s="462"/>
      <c r="V21" s="462"/>
      <c r="W21" s="462"/>
      <c r="X21" s="462"/>
      <c r="Y21" s="463"/>
      <c r="Z21" s="506"/>
      <c r="AA21" s="507"/>
      <c r="AB21" s="507"/>
      <c r="AC21" s="507"/>
      <c r="AD21" s="507"/>
      <c r="AE21" s="508"/>
      <c r="AF21" s="506"/>
      <c r="AG21" s="507"/>
      <c r="AH21" s="507"/>
      <c r="AI21" s="507"/>
      <c r="AJ21" s="507"/>
      <c r="AK21" s="508"/>
      <c r="AL21" s="497"/>
      <c r="AM21" s="498"/>
      <c r="AN21" s="498"/>
      <c r="AO21" s="498"/>
      <c r="AP21" s="498"/>
      <c r="AQ21" s="499"/>
      <c r="AR21" s="68"/>
      <c r="AS21" s="533"/>
      <c r="AT21" s="534"/>
      <c r="AU21" s="534"/>
      <c r="AV21" s="534"/>
      <c r="AW21" s="534"/>
      <c r="AX21" s="535"/>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row>
    <row r="22" spans="5:84" ht="13.9" customHeight="1">
      <c r="E22" s="68"/>
      <c r="F22" s="406"/>
      <c r="G22" s="406"/>
      <c r="H22" s="407"/>
      <c r="I22" s="445" t="s">
        <v>354</v>
      </c>
      <c r="J22" s="446"/>
      <c r="K22" s="446"/>
      <c r="L22" s="446"/>
      <c r="M22" s="447"/>
      <c r="N22" s="122"/>
      <c r="O22" s="123"/>
      <c r="P22" s="123"/>
      <c r="Q22" s="123"/>
      <c r="R22" s="123"/>
      <c r="S22" s="125"/>
      <c r="T22" s="455" t="str">
        <f>IF(AND('[2]Mapa final'!$H$12="Media",'[2]Mapa final'!$L$12="Menor"),CONCATENATE("R",'[2]Mapa final'!$A$12),"")</f>
        <v/>
      </c>
      <c r="U22" s="456"/>
      <c r="V22" s="456" t="str">
        <f>IF(AND('[2]Mapa final'!$H$18="Media",'[2]Mapa final'!$L$18="Menor"),CONCATENATE("R",'[2]Mapa final'!$A$18),"")</f>
        <v/>
      </c>
      <c r="W22" s="456"/>
      <c r="X22" s="456" t="str">
        <f>IF(AND('[2]Mapa final'!$H$24="Media",'[2]Mapa final'!$L$24="Menor"),CONCATENATE("R",'[2]Mapa final'!$A$24),"")</f>
        <v/>
      </c>
      <c r="Y22" s="457"/>
      <c r="Z22" s="455" t="str">
        <f>IF(AND('[2]Mapa final'!$H$12="Media",'[2]Mapa final'!$L$12="Moderado"),CONCATENATE("R",'[2]Mapa final'!$A$12),"")</f>
        <v/>
      </c>
      <c r="AA22" s="456"/>
      <c r="AB22" s="456" t="str">
        <f>IF(AND('[2]Mapa final'!$H$18="Media",'[2]Mapa final'!$L$18="Moderado"),CONCATENATE("R",'[2]Mapa final'!$A$18),"")</f>
        <v/>
      </c>
      <c r="AC22" s="456"/>
      <c r="AD22" s="456" t="str">
        <f>IF(AND('[2]Mapa final'!$H$24="Media",'[2]Mapa final'!$L$24="Moderado"),CONCATENATE("R",'[2]Mapa final'!$A$24),"")</f>
        <v/>
      </c>
      <c r="AE22" s="457"/>
      <c r="AF22" s="500"/>
      <c r="AG22" s="501"/>
      <c r="AH22" s="501"/>
      <c r="AI22" s="501"/>
      <c r="AJ22" s="501"/>
      <c r="AK22" s="502"/>
      <c r="AL22" s="491" t="str">
        <f>IF(AND('[2]Mapa final'!$H$12="Media",'[2]Mapa final'!$L$12="Catastrófico"),CONCATENATE("R",'[2]Mapa final'!$A$12),"")</f>
        <v/>
      </c>
      <c r="AM22" s="492"/>
      <c r="AN22" s="492" t="str">
        <f>IF(AND('[2]Mapa final'!$H$18="Media",'[2]Mapa final'!$L$18="Catastrófico"),CONCATENATE("R",'[2]Mapa final'!$A$18),"")</f>
        <v/>
      </c>
      <c r="AO22" s="492"/>
      <c r="AP22" s="492" t="str">
        <f>IF(AND('[2]Mapa final'!$H$24="Media",'[2]Mapa final'!$L$24="Catastrófico"),CONCATENATE("R",'[2]Mapa final'!$A$24),"")</f>
        <v/>
      </c>
      <c r="AQ22" s="493"/>
      <c r="AR22" s="68"/>
      <c r="AS22" s="482" t="s">
        <v>355</v>
      </c>
      <c r="AT22" s="483"/>
      <c r="AU22" s="483"/>
      <c r="AV22" s="483"/>
      <c r="AW22" s="483"/>
      <c r="AX22" s="484"/>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row>
    <row r="23" spans="5:84" ht="13.9" customHeight="1">
      <c r="E23" s="68"/>
      <c r="F23" s="406"/>
      <c r="G23" s="406"/>
      <c r="H23" s="407"/>
      <c r="I23" s="448"/>
      <c r="J23" s="449"/>
      <c r="K23" s="449"/>
      <c r="L23" s="449"/>
      <c r="M23" s="450"/>
      <c r="N23" s="124"/>
      <c r="O23" s="130"/>
      <c r="P23" s="130"/>
      <c r="Q23" s="130"/>
      <c r="R23" s="130"/>
      <c r="S23" s="126"/>
      <c r="T23" s="458"/>
      <c r="U23" s="459"/>
      <c r="V23" s="459"/>
      <c r="W23" s="459"/>
      <c r="X23" s="459"/>
      <c r="Y23" s="460"/>
      <c r="Z23" s="458"/>
      <c r="AA23" s="459"/>
      <c r="AB23" s="459"/>
      <c r="AC23" s="459"/>
      <c r="AD23" s="459"/>
      <c r="AE23" s="460"/>
      <c r="AF23" s="503"/>
      <c r="AG23" s="504"/>
      <c r="AH23" s="504"/>
      <c r="AI23" s="504"/>
      <c r="AJ23" s="504"/>
      <c r="AK23" s="505"/>
      <c r="AL23" s="494"/>
      <c r="AM23" s="495"/>
      <c r="AN23" s="495"/>
      <c r="AO23" s="495"/>
      <c r="AP23" s="495"/>
      <c r="AQ23" s="496"/>
      <c r="AR23" s="68"/>
      <c r="AS23" s="485"/>
      <c r="AT23" s="486"/>
      <c r="AU23" s="486"/>
      <c r="AV23" s="486"/>
      <c r="AW23" s="486"/>
      <c r="AX23" s="487"/>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row>
    <row r="24" spans="5:84" ht="13.9" customHeight="1">
      <c r="E24" s="68"/>
      <c r="F24" s="406"/>
      <c r="G24" s="406"/>
      <c r="H24" s="407"/>
      <c r="I24" s="448"/>
      <c r="J24" s="449"/>
      <c r="K24" s="449"/>
      <c r="L24" s="449"/>
      <c r="M24" s="450"/>
      <c r="N24" s="124"/>
      <c r="O24" s="130"/>
      <c r="P24" s="130"/>
      <c r="Q24" s="130"/>
      <c r="R24" s="130"/>
      <c r="S24" s="126"/>
      <c r="T24" s="458" t="str">
        <f>IF(AND('[2]Mapa final'!$H$30="Media",'[2]Mapa final'!$L$30="Menor"),CONCATENATE("R",'[2]Mapa final'!$A$30),"")</f>
        <v/>
      </c>
      <c r="U24" s="459"/>
      <c r="V24" s="459" t="str">
        <f>IF(AND('[2]Mapa final'!$H$36="Media",'[2]Mapa final'!$L$36="Menor"),CONCATENATE("R",'[2]Mapa final'!$A$36),"")</f>
        <v/>
      </c>
      <c r="W24" s="459"/>
      <c r="X24" s="459" t="str">
        <f>IF(AND('[2]Mapa final'!$H$42="Media",'[2]Mapa final'!$L$42="Menor"),CONCATENATE("R",'[2]Mapa final'!$A$42),"")</f>
        <v/>
      </c>
      <c r="Y24" s="460"/>
      <c r="Z24" s="458" t="str">
        <f>IF(AND('[2]Mapa final'!$H$30="Media",'[2]Mapa final'!$L$30="Moderado"),CONCATENATE("R",'[2]Mapa final'!$A$30),"")</f>
        <v/>
      </c>
      <c r="AA24" s="459"/>
      <c r="AB24" s="459" t="str">
        <f>IF(AND('[2]Mapa final'!$H$36="Media",'[2]Mapa final'!$L$36="Moderado"),CONCATENATE("R",'[2]Mapa final'!$A$36),"")</f>
        <v/>
      </c>
      <c r="AC24" s="459"/>
      <c r="AD24" s="459" t="str">
        <f>IF(AND('[2]Mapa final'!$H$42="Media",'[2]Mapa final'!$L$42="Moderado"),CONCATENATE("R",'[2]Mapa final'!$A$42),"")</f>
        <v/>
      </c>
      <c r="AE24" s="460"/>
      <c r="AF24" s="503"/>
      <c r="AG24" s="504"/>
      <c r="AH24" s="504"/>
      <c r="AI24" s="504"/>
      <c r="AJ24" s="504"/>
      <c r="AK24" s="505"/>
      <c r="AL24" s="494" t="str">
        <f>IF(AND('[2]Mapa final'!$H$30="Media",'[2]Mapa final'!$L$30="Catastrófico"),CONCATENATE("R",'[2]Mapa final'!$A$30),"")</f>
        <v/>
      </c>
      <c r="AM24" s="495"/>
      <c r="AN24" s="495" t="str">
        <f>IF(AND('[2]Mapa final'!$H$36="Media",'[2]Mapa final'!$L$36="Catastrófico"),CONCATENATE("R",'[2]Mapa final'!$A$36),"")</f>
        <v/>
      </c>
      <c r="AO24" s="495"/>
      <c r="AP24" s="495" t="str">
        <f>IF(AND('[2]Mapa final'!$H$42="Media",'[2]Mapa final'!$L$42="Catastrófico"),CONCATENATE("R",'[2]Mapa final'!$A$42),"")</f>
        <v/>
      </c>
      <c r="AQ24" s="496"/>
      <c r="AR24" s="68"/>
      <c r="AS24" s="485"/>
      <c r="AT24" s="486"/>
      <c r="AU24" s="486"/>
      <c r="AV24" s="486"/>
      <c r="AW24" s="486"/>
      <c r="AX24" s="487"/>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row>
    <row r="25" spans="5:84" ht="13.9" customHeight="1">
      <c r="E25" s="68"/>
      <c r="F25" s="406"/>
      <c r="G25" s="406"/>
      <c r="H25" s="407"/>
      <c r="I25" s="448"/>
      <c r="J25" s="449"/>
      <c r="K25" s="449"/>
      <c r="L25" s="449"/>
      <c r="M25" s="450"/>
      <c r="N25" s="124"/>
      <c r="O25" s="130"/>
      <c r="P25" s="130"/>
      <c r="Q25" s="130"/>
      <c r="R25" s="130"/>
      <c r="S25" s="126"/>
      <c r="T25" s="458"/>
      <c r="U25" s="459"/>
      <c r="V25" s="459"/>
      <c r="W25" s="459"/>
      <c r="X25" s="459"/>
      <c r="Y25" s="460"/>
      <c r="Z25" s="458"/>
      <c r="AA25" s="459"/>
      <c r="AB25" s="459"/>
      <c r="AC25" s="459"/>
      <c r="AD25" s="459"/>
      <c r="AE25" s="460"/>
      <c r="AF25" s="503"/>
      <c r="AG25" s="504"/>
      <c r="AH25" s="504"/>
      <c r="AI25" s="504"/>
      <c r="AJ25" s="504"/>
      <c r="AK25" s="505"/>
      <c r="AL25" s="494"/>
      <c r="AM25" s="495"/>
      <c r="AN25" s="495"/>
      <c r="AO25" s="495"/>
      <c r="AP25" s="495"/>
      <c r="AQ25" s="496"/>
      <c r="AR25" s="68"/>
      <c r="AS25" s="485"/>
      <c r="AT25" s="486"/>
      <c r="AU25" s="486"/>
      <c r="AV25" s="486"/>
      <c r="AW25" s="486"/>
      <c r="AX25" s="487"/>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row>
    <row r="26" spans="5:84" ht="13.9" customHeight="1">
      <c r="E26" s="68"/>
      <c r="F26" s="406"/>
      <c r="G26" s="406"/>
      <c r="H26" s="407"/>
      <c r="I26" s="448"/>
      <c r="J26" s="449"/>
      <c r="K26" s="449"/>
      <c r="L26" s="449"/>
      <c r="M26" s="450"/>
      <c r="N26" s="124"/>
      <c r="O26" s="130"/>
      <c r="P26" s="130"/>
      <c r="Q26" s="130"/>
      <c r="R26" s="130"/>
      <c r="S26" s="126"/>
      <c r="T26" s="458" t="str">
        <f>IF(AND('[2]Mapa final'!$H$48="Media",'[2]Mapa final'!$L$48="Menor"),CONCATENATE("R",'[2]Mapa final'!$A$48),"")</f>
        <v/>
      </c>
      <c r="U26" s="459"/>
      <c r="V26" s="459" t="str">
        <f>IF(AND('[2]Mapa final'!$H$54="Media",'[2]Mapa final'!$L$54="Menor"),CONCATENATE("R",'[2]Mapa final'!$A$54),"")</f>
        <v/>
      </c>
      <c r="W26" s="459"/>
      <c r="X26" s="459" t="str">
        <f>IF(AND('[2]Mapa final'!$H$60="Media",'[2]Mapa final'!$L$60="Menor"),CONCATENATE("R",'[2]Mapa final'!$A$60),"")</f>
        <v/>
      </c>
      <c r="Y26" s="460"/>
      <c r="Z26" s="458" t="str">
        <f>IF(AND('[2]Mapa final'!$H$48="Media",'[2]Mapa final'!$L$48="Moderado"),CONCATENATE("R",'[2]Mapa final'!$A$48),"")</f>
        <v/>
      </c>
      <c r="AA26" s="459"/>
      <c r="AB26" s="459" t="str">
        <f>IF(AND('[2]Mapa final'!$H$54="Media",'[2]Mapa final'!$L$54="Moderado"),CONCATENATE("R",'[2]Mapa final'!$A$54),"")</f>
        <v/>
      </c>
      <c r="AC26" s="459"/>
      <c r="AD26" s="459" t="str">
        <f>IF(AND('[2]Mapa final'!$H$60="Media",'[2]Mapa final'!$L$60="Moderado"),CONCATENATE("R",'[2]Mapa final'!$A$60),"")</f>
        <v/>
      </c>
      <c r="AE26" s="460"/>
      <c r="AF26" s="503"/>
      <c r="AG26" s="504"/>
      <c r="AH26" s="504"/>
      <c r="AI26" s="504"/>
      <c r="AJ26" s="504"/>
      <c r="AK26" s="505"/>
      <c r="AL26" s="494" t="str">
        <f>IF(AND('[2]Mapa final'!$H$48="Media",'[2]Mapa final'!$L$48="Catastrófico"),CONCATENATE("R",'[2]Mapa final'!$A$48),"")</f>
        <v/>
      </c>
      <c r="AM26" s="495"/>
      <c r="AN26" s="495" t="str">
        <f>IF(AND('[2]Mapa final'!$H$54="Media",'[2]Mapa final'!$L$54="Catastrófico"),CONCATENATE("R",'[2]Mapa final'!$A$54),"")</f>
        <v/>
      </c>
      <c r="AO26" s="495"/>
      <c r="AP26" s="495" t="str">
        <f>IF(AND('[2]Mapa final'!$H$60="Media",'[2]Mapa final'!$L$60="Catastrófico"),CONCATENATE("R",'[2]Mapa final'!$A$60),"")</f>
        <v/>
      </c>
      <c r="AQ26" s="496"/>
      <c r="AR26" s="68"/>
      <c r="AS26" s="485"/>
      <c r="AT26" s="486"/>
      <c r="AU26" s="486"/>
      <c r="AV26" s="486"/>
      <c r="AW26" s="486"/>
      <c r="AX26" s="487"/>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row>
    <row r="27" spans="5:84" ht="13.9" customHeight="1">
      <c r="E27" s="68"/>
      <c r="F27" s="406"/>
      <c r="G27" s="406"/>
      <c r="H27" s="407"/>
      <c r="I27" s="448"/>
      <c r="J27" s="449"/>
      <c r="K27" s="449"/>
      <c r="L27" s="449"/>
      <c r="M27" s="450"/>
      <c r="N27" s="124"/>
      <c r="O27" s="130"/>
      <c r="P27" s="130"/>
      <c r="Q27" s="130"/>
      <c r="R27" s="130"/>
      <c r="S27" s="126"/>
      <c r="T27" s="458"/>
      <c r="U27" s="459"/>
      <c r="V27" s="459"/>
      <c r="W27" s="459"/>
      <c r="X27" s="459"/>
      <c r="Y27" s="460"/>
      <c r="Z27" s="458"/>
      <c r="AA27" s="459"/>
      <c r="AB27" s="459"/>
      <c r="AC27" s="459"/>
      <c r="AD27" s="459"/>
      <c r="AE27" s="460"/>
      <c r="AF27" s="503"/>
      <c r="AG27" s="504"/>
      <c r="AH27" s="504"/>
      <c r="AI27" s="504"/>
      <c r="AJ27" s="504"/>
      <c r="AK27" s="505"/>
      <c r="AL27" s="494"/>
      <c r="AM27" s="495"/>
      <c r="AN27" s="495"/>
      <c r="AO27" s="495"/>
      <c r="AP27" s="495"/>
      <c r="AQ27" s="496"/>
      <c r="AR27" s="68"/>
      <c r="AS27" s="485"/>
      <c r="AT27" s="486"/>
      <c r="AU27" s="486"/>
      <c r="AV27" s="486"/>
      <c r="AW27" s="486"/>
      <c r="AX27" s="487"/>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row>
    <row r="28" spans="5:84" ht="13.9" customHeight="1">
      <c r="E28" s="68"/>
      <c r="F28" s="406"/>
      <c r="G28" s="406"/>
      <c r="H28" s="407"/>
      <c r="I28" s="448"/>
      <c r="J28" s="449"/>
      <c r="K28" s="449"/>
      <c r="L28" s="449"/>
      <c r="M28" s="450"/>
      <c r="N28" s="124"/>
      <c r="O28" s="130"/>
      <c r="P28" s="130"/>
      <c r="Q28" s="130"/>
      <c r="R28" s="130"/>
      <c r="S28" s="126"/>
      <c r="T28" s="458" t="str">
        <f>IF(AND('[2]Mapa final'!$H$66="Media",'[2]Mapa final'!$L$66="Menor"),CONCATENATE("R",'[2]Mapa final'!$A$66),"")</f>
        <v/>
      </c>
      <c r="U28" s="459"/>
      <c r="V28" s="459" t="e">
        <f>IF(AND('[2]Mapa final'!$H$72="Media",'[2]Mapa final'!$L$72="Menor"),CONCATENATE("R",'[2]Mapa final'!#REF!),"")</f>
        <v>#REF!</v>
      </c>
      <c r="W28" s="459"/>
      <c r="X28" s="459" t="e">
        <f>IF(AND('[2]Mapa final'!$H$79="Media",'[2]Mapa final'!$L$79="Menor"),CONCATENATE("R",'[2]Mapa final'!$A$79),"")</f>
        <v>#REF!</v>
      </c>
      <c r="Y28" s="460"/>
      <c r="Z28" s="458" t="str">
        <f>IF(AND('[2]Mapa final'!$H$66="Media",'[2]Mapa final'!$L$66="Moderado"),CONCATENATE("R",'[2]Mapa final'!$A$66),"")</f>
        <v/>
      </c>
      <c r="AA28" s="459"/>
      <c r="AB28" s="459" t="e">
        <f>IF(AND('[2]Mapa final'!$H$72="Media",'[2]Mapa final'!$L$72="Moderado"),CONCATENATE("R",'[2]Mapa final'!#REF!),"")</f>
        <v>#REF!</v>
      </c>
      <c r="AC28" s="459"/>
      <c r="AD28" s="459" t="e">
        <f>IF(AND('[2]Mapa final'!$H$79="Media",'[2]Mapa final'!$L$79="Moderado"),CONCATENATE("R",'[2]Mapa final'!$A$79),"")</f>
        <v>#REF!</v>
      </c>
      <c r="AE28" s="460"/>
      <c r="AF28" s="503"/>
      <c r="AG28" s="504"/>
      <c r="AH28" s="504"/>
      <c r="AI28" s="504"/>
      <c r="AJ28" s="504"/>
      <c r="AK28" s="505"/>
      <c r="AL28" s="494" t="str">
        <f>IF(AND('[2]Mapa final'!$H$66="Media",'[2]Mapa final'!$L$66="Catastrófico"),CONCATENATE("R",'[2]Mapa final'!$A$66),"")</f>
        <v/>
      </c>
      <c r="AM28" s="495"/>
      <c r="AN28" s="495" t="e">
        <f>IF(AND('[2]Mapa final'!$H$72="Media",'[2]Mapa final'!$L$72="Catastrófico"),CONCATENATE("R",'[2]Mapa final'!#REF!),"")</f>
        <v>#REF!</v>
      </c>
      <c r="AO28" s="495"/>
      <c r="AP28" s="495" t="e">
        <f>IF(AND('[2]Mapa final'!$H$79="Media",'[2]Mapa final'!$L$79="Catastrófico"),CONCATENATE("R",'[2]Mapa final'!$A$79),"")</f>
        <v>#REF!</v>
      </c>
      <c r="AQ28" s="496"/>
      <c r="AR28" s="68"/>
      <c r="AS28" s="485"/>
      <c r="AT28" s="486"/>
      <c r="AU28" s="486"/>
      <c r="AV28" s="486"/>
      <c r="AW28" s="486"/>
      <c r="AX28" s="487"/>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row>
    <row r="29" spans="5:84" ht="14.65" customHeight="1" thickBot="1">
      <c r="E29" s="68"/>
      <c r="F29" s="406"/>
      <c r="G29" s="406"/>
      <c r="H29" s="407"/>
      <c r="I29" s="451"/>
      <c r="J29" s="452"/>
      <c r="K29" s="452"/>
      <c r="L29" s="452"/>
      <c r="M29" s="453"/>
      <c r="N29" s="127"/>
      <c r="O29" s="128"/>
      <c r="P29" s="128"/>
      <c r="Q29" s="128"/>
      <c r="R29" s="128"/>
      <c r="S29" s="129"/>
      <c r="T29" s="461"/>
      <c r="U29" s="462"/>
      <c r="V29" s="462"/>
      <c r="W29" s="462"/>
      <c r="X29" s="462"/>
      <c r="Y29" s="463"/>
      <c r="Z29" s="461"/>
      <c r="AA29" s="462"/>
      <c r="AB29" s="462"/>
      <c r="AC29" s="462"/>
      <c r="AD29" s="462"/>
      <c r="AE29" s="463"/>
      <c r="AF29" s="506"/>
      <c r="AG29" s="507"/>
      <c r="AH29" s="507"/>
      <c r="AI29" s="507"/>
      <c r="AJ29" s="507"/>
      <c r="AK29" s="508"/>
      <c r="AL29" s="497"/>
      <c r="AM29" s="498"/>
      <c r="AN29" s="498"/>
      <c r="AO29" s="498"/>
      <c r="AP29" s="498"/>
      <c r="AQ29" s="499"/>
      <c r="AR29" s="68"/>
      <c r="AS29" s="488"/>
      <c r="AT29" s="489"/>
      <c r="AU29" s="489"/>
      <c r="AV29" s="489"/>
      <c r="AW29" s="489"/>
      <c r="AX29" s="490"/>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row>
    <row r="30" spans="5:84" ht="13.9" customHeight="1">
      <c r="E30" s="68"/>
      <c r="F30" s="406"/>
      <c r="G30" s="406"/>
      <c r="H30" s="407"/>
      <c r="I30" s="445" t="s">
        <v>356</v>
      </c>
      <c r="J30" s="446"/>
      <c r="K30" s="446"/>
      <c r="L30" s="446"/>
      <c r="M30" s="446"/>
      <c r="N30" s="473" t="str">
        <f>IF(AND('[2]Mapa final'!$H$12="Baja",'[2]Mapa final'!$L$12="Leve"),CONCATENATE("R",'[2]Mapa final'!$A$12),"")</f>
        <v/>
      </c>
      <c r="O30" s="474"/>
      <c r="P30" s="474"/>
      <c r="Q30" s="474"/>
      <c r="R30" s="474"/>
      <c r="S30" s="475"/>
      <c r="T30" s="509"/>
      <c r="U30" s="510"/>
      <c r="V30" s="510"/>
      <c r="W30" s="510"/>
      <c r="X30" s="510"/>
      <c r="Y30" s="511"/>
      <c r="Z30" s="455" t="str">
        <f>IF(AND('[2]Mapa final'!$H$12="Baja",'[2]Mapa final'!$L$12="Moderado"),CONCATENATE("R",'[2]Mapa final'!$A$12),"")</f>
        <v/>
      </c>
      <c r="AA30" s="456"/>
      <c r="AB30" s="456" t="str">
        <f>IF(AND('[2]Mapa final'!$H$18="Baja",'[2]Mapa final'!$L$18="Moderado"),CONCATENATE("R",'[2]Mapa final'!$A$18),"")</f>
        <v/>
      </c>
      <c r="AC30" s="456"/>
      <c r="AD30" s="456" t="str">
        <f>IF(AND('[2]Mapa final'!$H$24="Baja",'[2]Mapa final'!$L$24="Moderado"),CONCATENATE("R",'[2]Mapa final'!$A$24),"")</f>
        <v/>
      </c>
      <c r="AE30" s="457"/>
      <c r="AF30" s="500" t="str">
        <f>IF(AND('[2]Mapa final'!$H$12="Baja",'[2]Mapa final'!$L$12="Mayor"),CONCATENATE("R",'[2]Mapa final'!$A$12),"")</f>
        <v/>
      </c>
      <c r="AG30" s="501"/>
      <c r="AH30" s="501" t="str">
        <f>IF(AND('[2]Mapa final'!$H$18="Baja",'[2]Mapa final'!$L$18="Mayor"),CONCATENATE("R",'[2]Mapa final'!$A$18),"")</f>
        <v/>
      </c>
      <c r="AI30" s="501"/>
      <c r="AJ30" s="501" t="str">
        <f>IF(AND('[2]Mapa final'!$H$24="Baja",'[2]Mapa final'!$L$24="Mayor"),CONCATENATE("R",'[2]Mapa final'!$A$24),"")</f>
        <v/>
      </c>
      <c r="AK30" s="502"/>
      <c r="AL30" s="491" t="str">
        <f>IF(AND('[2]Mapa final'!$H$12="Baja",'[2]Mapa final'!$L$12="Catastrófico"),CONCATENATE("R",'[2]Mapa final'!$A$12),"")</f>
        <v/>
      </c>
      <c r="AM30" s="492"/>
      <c r="AN30" s="492" t="str">
        <f>IF(AND('[2]Mapa final'!$H$18="Baja",'[2]Mapa final'!$L$18="Catastrófico"),CONCATENATE("R",'[2]Mapa final'!$A$18),"")</f>
        <v/>
      </c>
      <c r="AO30" s="492"/>
      <c r="AP30" s="492" t="str">
        <f>IF(AND('[2]Mapa final'!$H$24="Baja",'[2]Mapa final'!$L$24="Catastrófico"),CONCATENATE("R",'[2]Mapa final'!$A$24),"")</f>
        <v/>
      </c>
      <c r="AQ30" s="493"/>
      <c r="AR30" s="68"/>
      <c r="AS30" s="464" t="s">
        <v>357</v>
      </c>
      <c r="AT30" s="465"/>
      <c r="AU30" s="465"/>
      <c r="AV30" s="465"/>
      <c r="AW30" s="465"/>
      <c r="AX30" s="466"/>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row>
    <row r="31" spans="5:84" ht="13.9" customHeight="1">
      <c r="E31" s="68"/>
      <c r="F31" s="406"/>
      <c r="G31" s="406"/>
      <c r="H31" s="407"/>
      <c r="I31" s="448"/>
      <c r="J31" s="449"/>
      <c r="K31" s="449"/>
      <c r="L31" s="449"/>
      <c r="M31" s="449"/>
      <c r="N31" s="476"/>
      <c r="O31" s="477"/>
      <c r="P31" s="477"/>
      <c r="Q31" s="477"/>
      <c r="R31" s="477"/>
      <c r="S31" s="478"/>
      <c r="T31" s="512"/>
      <c r="U31" s="513"/>
      <c r="V31" s="513"/>
      <c r="W31" s="513"/>
      <c r="X31" s="513"/>
      <c r="Y31" s="514"/>
      <c r="Z31" s="458"/>
      <c r="AA31" s="459"/>
      <c r="AB31" s="459"/>
      <c r="AC31" s="459"/>
      <c r="AD31" s="459"/>
      <c r="AE31" s="460"/>
      <c r="AF31" s="503"/>
      <c r="AG31" s="504"/>
      <c r="AH31" s="504"/>
      <c r="AI31" s="504"/>
      <c r="AJ31" s="504"/>
      <c r="AK31" s="505"/>
      <c r="AL31" s="494"/>
      <c r="AM31" s="495"/>
      <c r="AN31" s="495"/>
      <c r="AO31" s="495"/>
      <c r="AP31" s="495"/>
      <c r="AQ31" s="496"/>
      <c r="AR31" s="68"/>
      <c r="AS31" s="467"/>
      <c r="AT31" s="468"/>
      <c r="AU31" s="468"/>
      <c r="AV31" s="468"/>
      <c r="AW31" s="468"/>
      <c r="AX31" s="469"/>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row>
    <row r="32" spans="5:84" ht="13.9" customHeight="1">
      <c r="E32" s="68"/>
      <c r="F32" s="406"/>
      <c r="G32" s="406"/>
      <c r="H32" s="407"/>
      <c r="I32" s="448"/>
      <c r="J32" s="449"/>
      <c r="K32" s="449"/>
      <c r="L32" s="449"/>
      <c r="M32" s="449"/>
      <c r="N32" s="476"/>
      <c r="O32" s="477"/>
      <c r="P32" s="477"/>
      <c r="Q32" s="477"/>
      <c r="R32" s="477"/>
      <c r="S32" s="478"/>
      <c r="T32" s="512"/>
      <c r="U32" s="513"/>
      <c r="V32" s="513"/>
      <c r="W32" s="513"/>
      <c r="X32" s="513"/>
      <c r="Y32" s="514"/>
      <c r="Z32" s="458" t="str">
        <f>IF(AND('[2]Mapa final'!$H$30="Baja",'[2]Mapa final'!$L$30="Moderado"),CONCATENATE("R",'[2]Mapa final'!$A$30),"")</f>
        <v/>
      </c>
      <c r="AA32" s="459"/>
      <c r="AB32" s="459" t="str">
        <f>IF(AND('[2]Mapa final'!$H$36="Baja",'[2]Mapa final'!$L$36="Moderado"),CONCATENATE("R",'[2]Mapa final'!$A$36),"")</f>
        <v/>
      </c>
      <c r="AC32" s="459"/>
      <c r="AD32" s="459" t="str">
        <f>IF(AND('[2]Mapa final'!$H$42="Baja",'[2]Mapa final'!$L$42="Moderado"),CONCATENATE("R",'[2]Mapa final'!$A$42),"")</f>
        <v/>
      </c>
      <c r="AE32" s="460"/>
      <c r="AF32" s="503" t="str">
        <f>IF(AND('[2]Mapa final'!$H$30="Baja",'[2]Mapa final'!$L$30="Mayor"),CONCATENATE("R",'[2]Mapa final'!$A$30),"")</f>
        <v/>
      </c>
      <c r="AG32" s="504"/>
      <c r="AH32" s="504" t="str">
        <f>IF(AND('[2]Mapa final'!$H$36="Baja",'[2]Mapa final'!$L$36="Mayor"),CONCATENATE("R",'[2]Mapa final'!$A$36),"")</f>
        <v/>
      </c>
      <c r="AI32" s="504"/>
      <c r="AJ32" s="504" t="str">
        <f>IF(AND('[2]Mapa final'!$H$42="Baja",'[2]Mapa final'!$L$42="Mayor"),CONCATENATE("R",'[2]Mapa final'!$A$42),"")</f>
        <v/>
      </c>
      <c r="AK32" s="505"/>
      <c r="AL32" s="494" t="str">
        <f>IF(AND('[2]Mapa final'!$H$30="Baja",'[2]Mapa final'!$L$30="Catastrófico"),CONCATENATE("R",'[2]Mapa final'!$A$30),"")</f>
        <v/>
      </c>
      <c r="AM32" s="495"/>
      <c r="AN32" s="495" t="str">
        <f>IF(AND('[2]Mapa final'!$H$36="Baja",'[2]Mapa final'!$L$36="Catastrófico"),CONCATENATE("R",'[2]Mapa final'!$A$36),"")</f>
        <v/>
      </c>
      <c r="AO32" s="495"/>
      <c r="AP32" s="495" t="str">
        <f>IF(AND('[2]Mapa final'!$H$42="Baja",'[2]Mapa final'!$L$42="Catastrófico"),CONCATENATE("R",'[2]Mapa final'!$A$42),"")</f>
        <v/>
      </c>
      <c r="AQ32" s="496"/>
      <c r="AR32" s="68"/>
      <c r="AS32" s="467"/>
      <c r="AT32" s="468"/>
      <c r="AU32" s="468"/>
      <c r="AV32" s="468"/>
      <c r="AW32" s="468"/>
      <c r="AX32" s="469"/>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row>
    <row r="33" spans="5:84" ht="13.9" customHeight="1">
      <c r="E33" s="68"/>
      <c r="F33" s="406"/>
      <c r="G33" s="406"/>
      <c r="H33" s="407"/>
      <c r="I33" s="448"/>
      <c r="J33" s="449"/>
      <c r="K33" s="449"/>
      <c r="L33" s="449"/>
      <c r="M33" s="449"/>
      <c r="N33" s="476"/>
      <c r="O33" s="477"/>
      <c r="P33" s="477"/>
      <c r="Q33" s="477"/>
      <c r="R33" s="477"/>
      <c r="S33" s="478"/>
      <c r="T33" s="512"/>
      <c r="U33" s="513"/>
      <c r="V33" s="513"/>
      <c r="W33" s="513"/>
      <c r="X33" s="513"/>
      <c r="Y33" s="514"/>
      <c r="Z33" s="458"/>
      <c r="AA33" s="459"/>
      <c r="AB33" s="459"/>
      <c r="AC33" s="459"/>
      <c r="AD33" s="459"/>
      <c r="AE33" s="460"/>
      <c r="AF33" s="503"/>
      <c r="AG33" s="504"/>
      <c r="AH33" s="504"/>
      <c r="AI33" s="504"/>
      <c r="AJ33" s="504"/>
      <c r="AK33" s="505"/>
      <c r="AL33" s="494"/>
      <c r="AM33" s="495"/>
      <c r="AN33" s="495"/>
      <c r="AO33" s="495"/>
      <c r="AP33" s="495"/>
      <c r="AQ33" s="496"/>
      <c r="AR33" s="68"/>
      <c r="AS33" s="467"/>
      <c r="AT33" s="468"/>
      <c r="AU33" s="468"/>
      <c r="AV33" s="468"/>
      <c r="AW33" s="468"/>
      <c r="AX33" s="469"/>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row>
    <row r="34" spans="5:84" ht="13.9" customHeight="1">
      <c r="E34" s="68"/>
      <c r="F34" s="406"/>
      <c r="G34" s="406"/>
      <c r="H34" s="407"/>
      <c r="I34" s="448"/>
      <c r="J34" s="449"/>
      <c r="K34" s="449"/>
      <c r="L34" s="449"/>
      <c r="M34" s="449"/>
      <c r="N34" s="476"/>
      <c r="O34" s="477"/>
      <c r="P34" s="477"/>
      <c r="Q34" s="477"/>
      <c r="R34" s="477"/>
      <c r="S34" s="478"/>
      <c r="T34" s="512"/>
      <c r="U34" s="513"/>
      <c r="V34" s="513"/>
      <c r="W34" s="513"/>
      <c r="X34" s="513"/>
      <c r="Y34" s="514"/>
      <c r="Z34" s="458" t="str">
        <f>IF(AND('[2]Mapa final'!$H$48="Baja",'[2]Mapa final'!$L$48="Moderado"),CONCATENATE("R",'[2]Mapa final'!$A$48),"")</f>
        <v/>
      </c>
      <c r="AA34" s="459"/>
      <c r="AB34" s="459" t="str">
        <f>IF(AND('[2]Mapa final'!$H$54="Baja",'[2]Mapa final'!$L$54="Moderado"),CONCATENATE("R",'[2]Mapa final'!$A$54),"")</f>
        <v/>
      </c>
      <c r="AC34" s="459"/>
      <c r="AD34" s="459" t="str">
        <f>IF(AND('[2]Mapa final'!$H$60="Baja",'[2]Mapa final'!$L$60="Moderado"),CONCATENATE("R",'[2]Mapa final'!$A$60),"")</f>
        <v/>
      </c>
      <c r="AE34" s="460"/>
      <c r="AF34" s="503" t="str">
        <f>IF(AND('[2]Mapa final'!$H$48="Baja",'[2]Mapa final'!$L$48="Mayor"),CONCATENATE("R",'[2]Mapa final'!$A$48),"")</f>
        <v/>
      </c>
      <c r="AG34" s="504"/>
      <c r="AH34" s="504" t="str">
        <f>IF(AND('[2]Mapa final'!$H$54="Baja",'[2]Mapa final'!$L$54="Mayor"),CONCATENATE("R",'[2]Mapa final'!$A$54),"")</f>
        <v/>
      </c>
      <c r="AI34" s="504"/>
      <c r="AJ34" s="504" t="str">
        <f>IF(AND('[2]Mapa final'!$H$60="Baja",'[2]Mapa final'!$L$60="Mayor"),CONCATENATE("R",'[2]Mapa final'!$A$60),"")</f>
        <v/>
      </c>
      <c r="AK34" s="505"/>
      <c r="AL34" s="494" t="str">
        <f>IF(AND('[2]Mapa final'!$H$48="Baja",'[2]Mapa final'!$L$48="Catastrófico"),CONCATENATE("R",'[2]Mapa final'!$A$48),"")</f>
        <v/>
      </c>
      <c r="AM34" s="495"/>
      <c r="AN34" s="495" t="str">
        <f>IF(AND('[2]Mapa final'!$H$54="Baja",'[2]Mapa final'!$L$54="Catastrófico"),CONCATENATE("R",'[2]Mapa final'!$A$54),"")</f>
        <v/>
      </c>
      <c r="AO34" s="495"/>
      <c r="AP34" s="495" t="str">
        <f>IF(AND('[2]Mapa final'!$H$60="Baja",'[2]Mapa final'!$L$60="Catastrófico"),CONCATENATE("R",'[2]Mapa final'!$A$60),"")</f>
        <v/>
      </c>
      <c r="AQ34" s="496"/>
      <c r="AR34" s="68"/>
      <c r="AS34" s="467"/>
      <c r="AT34" s="468"/>
      <c r="AU34" s="468"/>
      <c r="AV34" s="468"/>
      <c r="AW34" s="468"/>
      <c r="AX34" s="469"/>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row>
    <row r="35" spans="5:84" ht="13.9" customHeight="1">
      <c r="E35" s="68"/>
      <c r="F35" s="406"/>
      <c r="G35" s="406"/>
      <c r="H35" s="407"/>
      <c r="I35" s="448"/>
      <c r="J35" s="449"/>
      <c r="K35" s="449"/>
      <c r="L35" s="449"/>
      <c r="M35" s="449"/>
      <c r="N35" s="476"/>
      <c r="O35" s="477"/>
      <c r="P35" s="477"/>
      <c r="Q35" s="477"/>
      <c r="R35" s="477"/>
      <c r="S35" s="478"/>
      <c r="T35" s="512"/>
      <c r="U35" s="513"/>
      <c r="V35" s="513"/>
      <c r="W35" s="513"/>
      <c r="X35" s="513"/>
      <c r="Y35" s="514"/>
      <c r="Z35" s="458"/>
      <c r="AA35" s="459"/>
      <c r="AB35" s="459"/>
      <c r="AC35" s="459"/>
      <c r="AD35" s="459"/>
      <c r="AE35" s="460"/>
      <c r="AF35" s="503"/>
      <c r="AG35" s="504"/>
      <c r="AH35" s="504"/>
      <c r="AI35" s="504"/>
      <c r="AJ35" s="504"/>
      <c r="AK35" s="505"/>
      <c r="AL35" s="494"/>
      <c r="AM35" s="495"/>
      <c r="AN35" s="495"/>
      <c r="AO35" s="495"/>
      <c r="AP35" s="495"/>
      <c r="AQ35" s="496"/>
      <c r="AR35" s="68"/>
      <c r="AS35" s="467"/>
      <c r="AT35" s="468"/>
      <c r="AU35" s="468"/>
      <c r="AV35" s="468"/>
      <c r="AW35" s="468"/>
      <c r="AX35" s="469"/>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row>
    <row r="36" spans="5:84" ht="13.9" customHeight="1">
      <c r="E36" s="68"/>
      <c r="F36" s="406"/>
      <c r="G36" s="406"/>
      <c r="H36" s="407"/>
      <c r="I36" s="448"/>
      <c r="J36" s="449"/>
      <c r="K36" s="449"/>
      <c r="L36" s="449"/>
      <c r="M36" s="449"/>
      <c r="N36" s="476"/>
      <c r="O36" s="477"/>
      <c r="P36" s="477"/>
      <c r="Q36" s="477"/>
      <c r="R36" s="477"/>
      <c r="S36" s="478"/>
      <c r="T36" s="512"/>
      <c r="U36" s="513"/>
      <c r="V36" s="513"/>
      <c r="W36" s="513"/>
      <c r="X36" s="513"/>
      <c r="Y36" s="514"/>
      <c r="Z36" s="458" t="str">
        <f>IF(AND('[2]Mapa final'!$H$66="Baja",'[2]Mapa final'!$L$66="Moderado"),CONCATENATE("R",'[2]Mapa final'!$A$66),"")</f>
        <v/>
      </c>
      <c r="AA36" s="459"/>
      <c r="AB36" s="459" t="e">
        <f>IF(AND('[2]Mapa final'!$H$72="Baja",'[2]Mapa final'!$L$72="Moderado"),CONCATENATE("R",'[2]Mapa final'!#REF!),"")</f>
        <v>#REF!</v>
      </c>
      <c r="AC36" s="459"/>
      <c r="AD36" s="459" t="e">
        <f>IF(AND('[2]Mapa final'!$H$79="Baja",'[2]Mapa final'!$L$79="Moderado"),CONCATENATE("R",'[2]Mapa final'!$A$79),"")</f>
        <v>#REF!</v>
      </c>
      <c r="AE36" s="460"/>
      <c r="AF36" s="503" t="str">
        <f>IF(AND('[2]Mapa final'!$H$66="Baja",'[2]Mapa final'!$L$66="Mayor"),CONCATENATE("R",'[2]Mapa final'!$A$66),"")</f>
        <v/>
      </c>
      <c r="AG36" s="504"/>
      <c r="AH36" s="504" t="e">
        <f>IF(AND('[2]Mapa final'!$H$72="Baja",'[2]Mapa final'!$L$72="Mayor"),CONCATENATE("R",'[2]Mapa final'!#REF!),"")</f>
        <v>#REF!</v>
      </c>
      <c r="AI36" s="504"/>
      <c r="AJ36" s="504" t="e">
        <f>IF(AND('[2]Mapa final'!$H$79="Baja",'[2]Mapa final'!$L$79="Mayor"),CONCATENATE("R",'[2]Mapa final'!$A$79),"")</f>
        <v>#REF!</v>
      </c>
      <c r="AK36" s="505"/>
      <c r="AL36" s="494" t="str">
        <f>IF(AND('[2]Mapa final'!$H$66="Baja",'[2]Mapa final'!$L$66="Catastrófico"),CONCATENATE("R",'[2]Mapa final'!$A$66),"")</f>
        <v/>
      </c>
      <c r="AM36" s="495"/>
      <c r="AN36" s="495" t="e">
        <f>IF(AND('[2]Mapa final'!$H$72="Baja",'[2]Mapa final'!$L$72="Catastrófico"),CONCATENATE("R",'[2]Mapa final'!#REF!),"")</f>
        <v>#REF!</v>
      </c>
      <c r="AO36" s="495"/>
      <c r="AP36" s="495" t="e">
        <f>IF(AND('[2]Mapa final'!$H$79="Baja",'[2]Mapa final'!$L$79="Catastrófico"),CONCATENATE("R",'[2]Mapa final'!$A$79),"")</f>
        <v>#REF!</v>
      </c>
      <c r="AQ36" s="496"/>
      <c r="AR36" s="68"/>
      <c r="AS36" s="467"/>
      <c r="AT36" s="468"/>
      <c r="AU36" s="468"/>
      <c r="AV36" s="468"/>
      <c r="AW36" s="468"/>
      <c r="AX36" s="469"/>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row>
    <row r="37" spans="5:84" ht="14.65" customHeight="1" thickBot="1">
      <c r="E37" s="68"/>
      <c r="F37" s="406"/>
      <c r="G37" s="406"/>
      <c r="H37" s="407"/>
      <c r="I37" s="451"/>
      <c r="J37" s="452"/>
      <c r="K37" s="452"/>
      <c r="L37" s="452"/>
      <c r="M37" s="452"/>
      <c r="N37" s="479"/>
      <c r="O37" s="480"/>
      <c r="P37" s="480"/>
      <c r="Q37" s="480"/>
      <c r="R37" s="480"/>
      <c r="S37" s="481"/>
      <c r="T37" s="515"/>
      <c r="U37" s="516"/>
      <c r="V37" s="516"/>
      <c r="W37" s="516"/>
      <c r="X37" s="516"/>
      <c r="Y37" s="517"/>
      <c r="Z37" s="461"/>
      <c r="AA37" s="462"/>
      <c r="AB37" s="462"/>
      <c r="AC37" s="462"/>
      <c r="AD37" s="462"/>
      <c r="AE37" s="463"/>
      <c r="AF37" s="506"/>
      <c r="AG37" s="507"/>
      <c r="AH37" s="507"/>
      <c r="AI37" s="507"/>
      <c r="AJ37" s="507"/>
      <c r="AK37" s="508"/>
      <c r="AL37" s="497"/>
      <c r="AM37" s="498"/>
      <c r="AN37" s="498"/>
      <c r="AO37" s="498"/>
      <c r="AP37" s="498"/>
      <c r="AQ37" s="499"/>
      <c r="AR37" s="68"/>
      <c r="AS37" s="470"/>
      <c r="AT37" s="471"/>
      <c r="AU37" s="471"/>
      <c r="AV37" s="471"/>
      <c r="AW37" s="471"/>
      <c r="AX37" s="472"/>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row>
    <row r="38" spans="5:84" ht="13.9" customHeight="1">
      <c r="E38" s="68"/>
      <c r="F38" s="406"/>
      <c r="G38" s="406"/>
      <c r="H38" s="407"/>
      <c r="I38" s="445" t="s">
        <v>358</v>
      </c>
      <c r="J38" s="446"/>
      <c r="K38" s="446"/>
      <c r="L38" s="446"/>
      <c r="M38" s="447"/>
      <c r="N38" s="473" t="str">
        <f>IF(AND('[2]Mapa final'!$H$12="Muy Baja",'[2]Mapa final'!$L$12="Leve"),CONCATENATE("R",'[2]Mapa final'!$A$12),"")</f>
        <v/>
      </c>
      <c r="O38" s="474"/>
      <c r="P38" s="474" t="str">
        <f>IF(AND('[2]Mapa final'!$H$18="Muy Baja",'[2]Mapa final'!$L$18="Leve"),CONCATENATE("R",'[2]Mapa final'!$A$18),"")</f>
        <v/>
      </c>
      <c r="Q38" s="474"/>
      <c r="R38" s="474" t="str">
        <f>IF(AND('[2]Mapa final'!$H$24="Muy Baja",'[2]Mapa final'!$L$24="Leve"),CONCATENATE("R",'[2]Mapa final'!$A$24),"")</f>
        <v>R3</v>
      </c>
      <c r="S38" s="475"/>
      <c r="T38" s="473" t="str">
        <f>IF(AND('[2]Mapa final'!$H$12="Muy Baja",'[2]Mapa final'!$L$12="Menor"),CONCATENATE("R",'[2]Mapa final'!$A$12),"")</f>
        <v/>
      </c>
      <c r="U38" s="474"/>
      <c r="V38" s="474" t="str">
        <f>IF(AND('[2]Mapa final'!$H$18="Muy Baja",'[2]Mapa final'!$L$18="Menor"),CONCATENATE("R",'[2]Mapa final'!$A$18),"")</f>
        <v/>
      </c>
      <c r="W38" s="474"/>
      <c r="X38" s="474" t="str">
        <f>IF(AND('[2]Mapa final'!$H$24="Muy Baja",'[2]Mapa final'!$L$24="Menor"),CONCATENATE("R",'[2]Mapa final'!$A$24),"")</f>
        <v/>
      </c>
      <c r="Y38" s="475"/>
      <c r="Z38" s="455" t="str">
        <f>IF(AND('[2]Mapa final'!$H$12="Muy Baja",'[2]Mapa final'!$L$12="Moderado"),CONCATENATE("R",'[2]Mapa final'!$A$12),"")</f>
        <v/>
      </c>
      <c r="AA38" s="456"/>
      <c r="AB38" s="456" t="str">
        <f>IF(AND('[2]Mapa final'!$H$18="Muy Baja",'[2]Mapa final'!$L$18="Moderado"),CONCATENATE("R",'[2]Mapa final'!$A$18),"")</f>
        <v/>
      </c>
      <c r="AC38" s="456"/>
      <c r="AD38" s="456" t="str">
        <f>IF(AND('[2]Mapa final'!$H$24="Muy Baja",'[2]Mapa final'!$L$24="Moderado"),CONCATENATE("R",'[2]Mapa final'!$A$24),"")</f>
        <v/>
      </c>
      <c r="AE38" s="457"/>
      <c r="AF38" s="500" t="str">
        <f>IF(AND('[2]Mapa final'!$H$12="Muy Baja",'[2]Mapa final'!$L$12="Mayor"),CONCATENATE("R",'[2]Mapa final'!$A$12),"")</f>
        <v/>
      </c>
      <c r="AG38" s="501"/>
      <c r="AH38" s="501" t="str">
        <f>IF(AND('[2]Mapa final'!$H$18="Muy Baja",'[2]Mapa final'!$L$18="Mayor"),CONCATENATE("R",'[2]Mapa final'!$A$18),"")</f>
        <v/>
      </c>
      <c r="AI38" s="501"/>
      <c r="AJ38" s="501" t="str">
        <f>IF(AND('[2]Mapa final'!$H$24="Muy Baja",'[2]Mapa final'!$L$24="Mayor"),CONCATENATE("R",'[2]Mapa final'!$A$24),"")</f>
        <v/>
      </c>
      <c r="AK38" s="502"/>
      <c r="AL38" s="491" t="str">
        <f>IF(AND('[2]Mapa final'!$H$12="Muy Baja",'[2]Mapa final'!$L$12="Catastrófico"),CONCATENATE("R",'[2]Mapa final'!$A$12),"")</f>
        <v/>
      </c>
      <c r="AM38" s="492"/>
      <c r="AN38" s="492" t="str">
        <f>IF(AND('[2]Mapa final'!$H$18="Muy Baja",'[2]Mapa final'!$L$18="Catastrófico"),CONCATENATE("R",'[2]Mapa final'!$A$18),"")</f>
        <v/>
      </c>
      <c r="AO38" s="492"/>
      <c r="AP38" s="492" t="str">
        <f>IF(AND('[2]Mapa final'!$H$24="Muy Baja",'[2]Mapa final'!$L$24="Catastrófico"),CONCATENATE("R",'[2]Mapa final'!$A$24),"")</f>
        <v/>
      </c>
      <c r="AQ38" s="493"/>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row>
    <row r="39" spans="5:84" ht="13.9" customHeight="1">
      <c r="E39" s="68"/>
      <c r="F39" s="406"/>
      <c r="G39" s="406"/>
      <c r="H39" s="407"/>
      <c r="I39" s="448"/>
      <c r="J39" s="449"/>
      <c r="K39" s="449"/>
      <c r="L39" s="449"/>
      <c r="M39" s="450"/>
      <c r="N39" s="476"/>
      <c r="O39" s="477"/>
      <c r="P39" s="477"/>
      <c r="Q39" s="477"/>
      <c r="R39" s="477"/>
      <c r="S39" s="478"/>
      <c r="T39" s="476"/>
      <c r="U39" s="477"/>
      <c r="V39" s="477"/>
      <c r="W39" s="477"/>
      <c r="X39" s="477"/>
      <c r="Y39" s="478"/>
      <c r="Z39" s="458"/>
      <c r="AA39" s="459"/>
      <c r="AB39" s="459"/>
      <c r="AC39" s="459"/>
      <c r="AD39" s="459"/>
      <c r="AE39" s="460"/>
      <c r="AF39" s="503"/>
      <c r="AG39" s="504"/>
      <c r="AH39" s="504"/>
      <c r="AI39" s="504"/>
      <c r="AJ39" s="504"/>
      <c r="AK39" s="505"/>
      <c r="AL39" s="494"/>
      <c r="AM39" s="495"/>
      <c r="AN39" s="495"/>
      <c r="AO39" s="495"/>
      <c r="AP39" s="495"/>
      <c r="AQ39" s="496"/>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row>
    <row r="40" spans="5:84" ht="13.9" customHeight="1">
      <c r="E40" s="68"/>
      <c r="F40" s="406"/>
      <c r="G40" s="406"/>
      <c r="H40" s="407"/>
      <c r="I40" s="448"/>
      <c r="J40" s="449"/>
      <c r="K40" s="449"/>
      <c r="L40" s="449"/>
      <c r="M40" s="450"/>
      <c r="N40" s="476" t="str">
        <f>IF(AND('[2]Mapa final'!$H$30="Muy Baja",'[2]Mapa final'!$L$30="Leve"),CONCATENATE("R",'[2]Mapa final'!$A$30),"")</f>
        <v/>
      </c>
      <c r="O40" s="477"/>
      <c r="P40" s="477" t="str">
        <f>IF(AND('[2]Mapa final'!$H$36="Muy Baja",'[2]Mapa final'!$L$36="Leve"),CONCATENATE("R",'[2]Mapa final'!$A$36),"")</f>
        <v/>
      </c>
      <c r="Q40" s="477"/>
      <c r="R40" s="477" t="str">
        <f>IF(AND('[2]Mapa final'!$H$42="Muy Baja",'[2]Mapa final'!$L$42="Leve"),CONCATENATE("R",'[2]Mapa final'!$A$42),"")</f>
        <v/>
      </c>
      <c r="S40" s="478"/>
      <c r="T40" s="476" t="str">
        <f>IF(AND('[2]Mapa final'!$H$30="Muy Baja",'[2]Mapa final'!$L$30="Menor"),CONCATENATE("R",'[2]Mapa final'!$A$30),"")</f>
        <v/>
      </c>
      <c r="U40" s="477"/>
      <c r="V40" s="477" t="str">
        <f>IF(AND('[2]Mapa final'!$H$36="Muy Baja",'[2]Mapa final'!$L$36="Menor"),CONCATENATE("R",'[2]Mapa final'!$A$36),"")</f>
        <v/>
      </c>
      <c r="W40" s="477"/>
      <c r="X40" s="477" t="str">
        <f>IF(AND('[2]Mapa final'!$H$42="Muy Baja",'[2]Mapa final'!$L$42="Menor"),CONCATENATE("R",'[2]Mapa final'!$A$42),"")</f>
        <v/>
      </c>
      <c r="Y40" s="478"/>
      <c r="Z40" s="458" t="str">
        <f>IF(AND('[2]Mapa final'!$H$30="Muy Baja",'[2]Mapa final'!$L$30="Moderado"),CONCATENATE("R",'[2]Mapa final'!$A$30),"")</f>
        <v/>
      </c>
      <c r="AA40" s="459"/>
      <c r="AB40" s="459" t="str">
        <f>IF(AND('[2]Mapa final'!$H$36="Muy Baja",'[2]Mapa final'!$L$36="Moderado"),CONCATENATE("R",'[2]Mapa final'!$A$36),"")</f>
        <v/>
      </c>
      <c r="AC40" s="459"/>
      <c r="AD40" s="459" t="str">
        <f>IF(AND('[2]Mapa final'!$H$42="Muy Baja",'[2]Mapa final'!$L$42="Moderado"),CONCATENATE("R",'[2]Mapa final'!$A$42),"")</f>
        <v>R5</v>
      </c>
      <c r="AE40" s="460"/>
      <c r="AF40" s="503" t="str">
        <f>IF(AND('[2]Mapa final'!$H$30="Muy Baja",'[2]Mapa final'!$L$30="Mayor"),CONCATENATE("R",'[2]Mapa final'!$A$30),"")</f>
        <v/>
      </c>
      <c r="AG40" s="504"/>
      <c r="AH40" s="504" t="str">
        <f>IF(AND('[2]Mapa final'!$H$36="Muy Baja",'[2]Mapa final'!$L$36="Mayor"),CONCATENATE("R",'[2]Mapa final'!$A$36),"")</f>
        <v/>
      </c>
      <c r="AI40" s="504"/>
      <c r="AJ40" s="504" t="str">
        <f>IF(AND('[2]Mapa final'!$H$42="Muy Baja",'[2]Mapa final'!$L$42="Mayor"),CONCATENATE("R",'[2]Mapa final'!$A$42),"")</f>
        <v/>
      </c>
      <c r="AK40" s="505"/>
      <c r="AL40" s="494" t="str">
        <f>IF(AND('[2]Mapa final'!$H$30="Muy Baja",'[2]Mapa final'!$L$30="Catastrófico"),CONCATENATE("R",'[2]Mapa final'!$A$30),"")</f>
        <v/>
      </c>
      <c r="AM40" s="495"/>
      <c r="AN40" s="495" t="str">
        <f>IF(AND('[2]Mapa final'!$H$36="Muy Baja",'[2]Mapa final'!$L$36="Catastrófico"),CONCATENATE("R",'[2]Mapa final'!$A$36),"")</f>
        <v/>
      </c>
      <c r="AO40" s="495"/>
      <c r="AP40" s="495" t="str">
        <f>IF(AND('[2]Mapa final'!$H$42="Muy Baja",'[2]Mapa final'!$L$42="Catastrófico"),CONCATENATE("R",'[2]Mapa final'!$A$42),"")</f>
        <v/>
      </c>
      <c r="AQ40" s="496"/>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row>
    <row r="41" spans="5:84" ht="13.9" customHeight="1">
      <c r="E41" s="68"/>
      <c r="F41" s="406"/>
      <c r="G41" s="406"/>
      <c r="H41" s="407"/>
      <c r="I41" s="448"/>
      <c r="J41" s="449"/>
      <c r="K41" s="449"/>
      <c r="L41" s="449"/>
      <c r="M41" s="450"/>
      <c r="N41" s="476"/>
      <c r="O41" s="477"/>
      <c r="P41" s="477"/>
      <c r="Q41" s="477"/>
      <c r="R41" s="477"/>
      <c r="S41" s="478"/>
      <c r="T41" s="476"/>
      <c r="U41" s="477"/>
      <c r="V41" s="477"/>
      <c r="W41" s="477"/>
      <c r="X41" s="477"/>
      <c r="Y41" s="478"/>
      <c r="Z41" s="458"/>
      <c r="AA41" s="459"/>
      <c r="AB41" s="459"/>
      <c r="AC41" s="459"/>
      <c r="AD41" s="459"/>
      <c r="AE41" s="460"/>
      <c r="AF41" s="503"/>
      <c r="AG41" s="504"/>
      <c r="AH41" s="504"/>
      <c r="AI41" s="504"/>
      <c r="AJ41" s="504"/>
      <c r="AK41" s="505"/>
      <c r="AL41" s="494"/>
      <c r="AM41" s="495"/>
      <c r="AN41" s="495"/>
      <c r="AO41" s="495"/>
      <c r="AP41" s="495"/>
      <c r="AQ41" s="496"/>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row>
    <row r="42" spans="5:84" ht="13.9" customHeight="1">
      <c r="E42" s="68"/>
      <c r="F42" s="406"/>
      <c r="G42" s="406"/>
      <c r="H42" s="407"/>
      <c r="I42" s="448"/>
      <c r="J42" s="449"/>
      <c r="K42" s="449"/>
      <c r="L42" s="449"/>
      <c r="M42" s="450"/>
      <c r="N42" s="476" t="str">
        <f>IF(AND('[2]Mapa final'!$H$48="Muy Baja",'[2]Mapa final'!$L$48="Leve"),CONCATENATE("R",'[2]Mapa final'!$A$48),"")</f>
        <v/>
      </c>
      <c r="O42" s="477"/>
      <c r="P42" s="477" t="str">
        <f>IF(AND('[2]Mapa final'!$H$54="Muy Baja",'[2]Mapa final'!$L$54="Leve"),CONCATENATE("R",'[2]Mapa final'!$A$54),"")</f>
        <v/>
      </c>
      <c r="Q42" s="477"/>
      <c r="R42" s="477" t="str">
        <f>IF(AND('[2]Mapa final'!$H$60="Muy Baja",'[2]Mapa final'!$L$60="Leve"),CONCATENATE("R",'[2]Mapa final'!$A$60),"")</f>
        <v/>
      </c>
      <c r="S42" s="478"/>
      <c r="T42" s="476" t="str">
        <f>IF(AND('[2]Mapa final'!$H$48="Muy Baja",'[2]Mapa final'!$L$48="Menor"),CONCATENATE("R",'[2]Mapa final'!$A$48),"")</f>
        <v/>
      </c>
      <c r="U42" s="477"/>
      <c r="V42" s="477" t="str">
        <f>IF(AND('[2]Mapa final'!$H$54="Muy Baja",'[2]Mapa final'!$L$54="Menor"),CONCATENATE("R",'[2]Mapa final'!$A$54),"")</f>
        <v/>
      </c>
      <c r="W42" s="477"/>
      <c r="X42" s="477" t="str">
        <f>IF(AND('[2]Mapa final'!$H$60="Muy Baja",'[2]Mapa final'!$L$60="Menor"),CONCATENATE("R",'[2]Mapa final'!$A$60),"")</f>
        <v/>
      </c>
      <c r="Y42" s="478"/>
      <c r="Z42" s="458" t="str">
        <f>IF(AND('[2]Mapa final'!$H$48="Muy Baja",'[2]Mapa final'!$L$48="Moderado"),CONCATENATE("R",'[2]Mapa final'!$A$48),"")</f>
        <v/>
      </c>
      <c r="AA42" s="459"/>
      <c r="AB42" s="459" t="str">
        <f>IF(AND('[2]Mapa final'!$H$54="Muy Baja",'[2]Mapa final'!$L$54="Moderado"),CONCATENATE("R",'[2]Mapa final'!$A$54),"")</f>
        <v/>
      </c>
      <c r="AC42" s="459"/>
      <c r="AD42" s="459" t="str">
        <f>IF(AND('[2]Mapa final'!$H$60="Muy Baja",'[2]Mapa final'!$L$60="Moderado"),CONCATENATE("R",'[2]Mapa final'!$A$60),"")</f>
        <v/>
      </c>
      <c r="AE42" s="460"/>
      <c r="AF42" s="503" t="str">
        <f>IF(AND('[2]Mapa final'!$H$48="Muy Baja",'[2]Mapa final'!$L$48="Mayor"),CONCATENATE("R",'[2]Mapa final'!$A$48),"")</f>
        <v/>
      </c>
      <c r="AG42" s="504"/>
      <c r="AH42" s="504" t="str">
        <f>IF(AND('[2]Mapa final'!$H$54="Muy Baja",'[2]Mapa final'!$L$54="Mayor"),CONCATENATE("R",'[2]Mapa final'!$A$54),"")</f>
        <v/>
      </c>
      <c r="AI42" s="504"/>
      <c r="AJ42" s="504" t="str">
        <f>IF(AND('[2]Mapa final'!$H$60="Muy Baja",'[2]Mapa final'!$L$60="Mayor"),CONCATENATE("R",'[2]Mapa final'!$A$60),"")</f>
        <v/>
      </c>
      <c r="AK42" s="505"/>
      <c r="AL42" s="494" t="str">
        <f>IF(AND('[2]Mapa final'!$H$48="Muy Baja",'[2]Mapa final'!$L$48="Catastrófico"),CONCATENATE("R",'[2]Mapa final'!$A$48),"")</f>
        <v/>
      </c>
      <c r="AM42" s="495"/>
      <c r="AN42" s="495" t="str">
        <f>IF(AND('[2]Mapa final'!$H$54="Muy Baja",'[2]Mapa final'!$L$54="Catastrófico"),CONCATENATE("R",'[2]Mapa final'!$A$54),"")</f>
        <v/>
      </c>
      <c r="AO42" s="495"/>
      <c r="AP42" s="495" t="str">
        <f>IF(AND('[2]Mapa final'!$H$60="Muy Baja",'[2]Mapa final'!$L$60="Catastrófico"),CONCATENATE("R",'[2]Mapa final'!$A$60),"")</f>
        <v/>
      </c>
      <c r="AQ42" s="496"/>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row>
    <row r="43" spans="5:84" ht="13.9" customHeight="1">
      <c r="E43" s="68"/>
      <c r="F43" s="406"/>
      <c r="G43" s="406"/>
      <c r="H43" s="407"/>
      <c r="I43" s="448"/>
      <c r="J43" s="449"/>
      <c r="K43" s="449"/>
      <c r="L43" s="449"/>
      <c r="M43" s="450"/>
      <c r="N43" s="476"/>
      <c r="O43" s="477"/>
      <c r="P43" s="477"/>
      <c r="Q43" s="477"/>
      <c r="R43" s="477"/>
      <c r="S43" s="478"/>
      <c r="T43" s="476"/>
      <c r="U43" s="477"/>
      <c r="V43" s="477"/>
      <c r="W43" s="477"/>
      <c r="X43" s="477"/>
      <c r="Y43" s="478"/>
      <c r="Z43" s="458"/>
      <c r="AA43" s="459"/>
      <c r="AB43" s="459"/>
      <c r="AC43" s="459"/>
      <c r="AD43" s="459"/>
      <c r="AE43" s="460"/>
      <c r="AF43" s="503"/>
      <c r="AG43" s="504"/>
      <c r="AH43" s="504"/>
      <c r="AI43" s="504"/>
      <c r="AJ43" s="504"/>
      <c r="AK43" s="505"/>
      <c r="AL43" s="494"/>
      <c r="AM43" s="495"/>
      <c r="AN43" s="495"/>
      <c r="AO43" s="495"/>
      <c r="AP43" s="495"/>
      <c r="AQ43" s="496"/>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row>
    <row r="44" spans="5:84" ht="13.9" customHeight="1">
      <c r="E44" s="68"/>
      <c r="F44" s="406"/>
      <c r="G44" s="406"/>
      <c r="H44" s="407"/>
      <c r="I44" s="448"/>
      <c r="J44" s="449"/>
      <c r="K44" s="449"/>
      <c r="L44" s="449"/>
      <c r="M44" s="450"/>
      <c r="N44" s="476" t="str">
        <f>IF(AND('[2]Mapa final'!$H$66="Muy Baja",'[2]Mapa final'!$L$66="Leve"),CONCATENATE("R",'[2]Mapa final'!$A$66),"")</f>
        <v/>
      </c>
      <c r="O44" s="477"/>
      <c r="P44" s="477" t="e">
        <f>IF(AND('[2]Mapa final'!$H$72="Muy Baja",'[2]Mapa final'!$L$72="Leve"),CONCATENATE("R",'[2]Mapa final'!#REF!),"")</f>
        <v>#REF!</v>
      </c>
      <c r="Q44" s="477"/>
      <c r="R44" s="477" t="e">
        <f>IF(AND('[2]Mapa final'!$H$79="Muy Baja",'[2]Mapa final'!$L$79="Leve"),CONCATENATE("R",'[2]Mapa final'!$A$79),"")</f>
        <v>#REF!</v>
      </c>
      <c r="S44" s="478"/>
      <c r="T44" s="476" t="str">
        <f>IF(AND('[2]Mapa final'!$H$66="Muy Baja",'[2]Mapa final'!$L$66="Menor"),CONCATENATE("R",'[2]Mapa final'!$A$66),"")</f>
        <v/>
      </c>
      <c r="U44" s="477"/>
      <c r="V44" s="477" t="e">
        <f>IF(AND('[2]Mapa final'!$H$72="Muy Baja",'[2]Mapa final'!$L$72="Menor"),CONCATENATE("R",'[2]Mapa final'!#REF!),"")</f>
        <v>#REF!</v>
      </c>
      <c r="W44" s="477"/>
      <c r="X44" s="477" t="e">
        <f>IF(AND('[2]Mapa final'!$H$79="Muy Baja",'[2]Mapa final'!$L$79="Menor"),CONCATENATE("R",'[2]Mapa final'!$A$79),"")</f>
        <v>#REF!</v>
      </c>
      <c r="Y44" s="478"/>
      <c r="Z44" s="458" t="str">
        <f>IF(AND('[2]Mapa final'!$H$66="Muy Baja",'[2]Mapa final'!$L$66="Moderado"),CONCATENATE("R",'[2]Mapa final'!$A$66),"")</f>
        <v/>
      </c>
      <c r="AA44" s="459"/>
      <c r="AB44" s="459" t="e">
        <f>IF(AND('[2]Mapa final'!$H$72="Muy Baja",'[2]Mapa final'!$L$72="Moderado"),CONCATENATE("R",'[2]Mapa final'!#REF!),"")</f>
        <v>#REF!</v>
      </c>
      <c r="AC44" s="459"/>
      <c r="AD44" s="459" t="e">
        <f>IF(AND('[2]Mapa final'!$H$79="Muy Baja",'[2]Mapa final'!$L$79="Moderado"),CONCATENATE("R",'[2]Mapa final'!$A$79),"")</f>
        <v>#REF!</v>
      </c>
      <c r="AE44" s="460"/>
      <c r="AF44" s="503" t="str">
        <f>IF(AND('[2]Mapa final'!$H$66="Muy Baja",'[2]Mapa final'!$L$66="Mayor"),CONCATENATE("R",'[2]Mapa final'!$A$66),"")</f>
        <v/>
      </c>
      <c r="AG44" s="504"/>
      <c r="AH44" s="504" t="e">
        <f>IF(AND('[2]Mapa final'!$H$72="Muy Baja",'[2]Mapa final'!$L$72="Mayor"),CONCATENATE("R",'[2]Mapa final'!#REF!),"")</f>
        <v>#REF!</v>
      </c>
      <c r="AI44" s="504"/>
      <c r="AJ44" s="504" t="e">
        <f>IF(AND('[2]Mapa final'!$H$79="Muy Baja",'[2]Mapa final'!$L$79="Mayor"),CONCATENATE("R",'[2]Mapa final'!$A$79),"")</f>
        <v>#REF!</v>
      </c>
      <c r="AK44" s="505"/>
      <c r="AL44" s="494" t="str">
        <f>IF(AND('[2]Mapa final'!$H$66="Muy Baja",'[2]Mapa final'!$L$66="Catastrófico"),CONCATENATE("R",'[2]Mapa final'!$A$66),"")</f>
        <v/>
      </c>
      <c r="AM44" s="495"/>
      <c r="AN44" s="495" t="e">
        <f>IF(AND('[2]Mapa final'!$H$72="Muy Baja",'[2]Mapa final'!$L$72="Catastrófico"),CONCATENATE("R",'[2]Mapa final'!#REF!),"")</f>
        <v>#REF!</v>
      </c>
      <c r="AO44" s="495"/>
      <c r="AP44" s="495" t="e">
        <f>IF(AND('[2]Mapa final'!$H$79="Muy Baja",'[2]Mapa final'!$L$79="Catastrófico"),CONCATENATE("R",'[2]Mapa final'!$A$79),"")</f>
        <v>#REF!</v>
      </c>
      <c r="AQ44" s="496"/>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row>
    <row r="45" spans="5:84" ht="14.65" customHeight="1" thickBot="1">
      <c r="E45" s="68"/>
      <c r="F45" s="406"/>
      <c r="G45" s="406"/>
      <c r="H45" s="407"/>
      <c r="I45" s="451"/>
      <c r="J45" s="452"/>
      <c r="K45" s="452"/>
      <c r="L45" s="452"/>
      <c r="M45" s="453"/>
      <c r="N45" s="479"/>
      <c r="O45" s="480"/>
      <c r="P45" s="480"/>
      <c r="Q45" s="480"/>
      <c r="R45" s="480"/>
      <c r="S45" s="481"/>
      <c r="T45" s="479"/>
      <c r="U45" s="480"/>
      <c r="V45" s="480"/>
      <c r="W45" s="480"/>
      <c r="X45" s="480"/>
      <c r="Y45" s="481"/>
      <c r="Z45" s="461"/>
      <c r="AA45" s="462"/>
      <c r="AB45" s="462"/>
      <c r="AC45" s="462"/>
      <c r="AD45" s="462"/>
      <c r="AE45" s="463"/>
      <c r="AF45" s="506"/>
      <c r="AG45" s="507"/>
      <c r="AH45" s="507"/>
      <c r="AI45" s="507"/>
      <c r="AJ45" s="507"/>
      <c r="AK45" s="508"/>
      <c r="AL45" s="497"/>
      <c r="AM45" s="498"/>
      <c r="AN45" s="498"/>
      <c r="AO45" s="498"/>
      <c r="AP45" s="498"/>
      <c r="AQ45" s="499"/>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row>
    <row r="46" spans="5:84">
      <c r="E46" s="68"/>
      <c r="F46" s="68"/>
      <c r="G46" s="68"/>
      <c r="H46" s="68"/>
      <c r="I46" s="68"/>
      <c r="J46" s="68"/>
      <c r="K46" s="68"/>
      <c r="L46" s="68"/>
      <c r="M46" s="68"/>
      <c r="N46" s="445" t="s">
        <v>359</v>
      </c>
      <c r="O46" s="446"/>
      <c r="P46" s="446"/>
      <c r="Q46" s="446"/>
      <c r="R46" s="446"/>
      <c r="S46" s="447"/>
      <c r="T46" s="445" t="s">
        <v>360</v>
      </c>
      <c r="U46" s="446"/>
      <c r="V46" s="446"/>
      <c r="W46" s="446"/>
      <c r="X46" s="446"/>
      <c r="Y46" s="447"/>
      <c r="Z46" s="445" t="s">
        <v>361</v>
      </c>
      <c r="AA46" s="446"/>
      <c r="AB46" s="446"/>
      <c r="AC46" s="446"/>
      <c r="AD46" s="446"/>
      <c r="AE46" s="447"/>
      <c r="AF46" s="445" t="s">
        <v>362</v>
      </c>
      <c r="AG46" s="454"/>
      <c r="AH46" s="446"/>
      <c r="AI46" s="446"/>
      <c r="AJ46" s="446"/>
      <c r="AK46" s="447"/>
      <c r="AL46" s="445" t="s">
        <v>363</v>
      </c>
      <c r="AM46" s="446"/>
      <c r="AN46" s="446"/>
      <c r="AO46" s="446"/>
      <c r="AP46" s="446"/>
      <c r="AQ46" s="447"/>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row>
    <row r="47" spans="5:84">
      <c r="E47" s="68"/>
      <c r="F47" s="68"/>
      <c r="G47" s="68"/>
      <c r="H47" s="68"/>
      <c r="I47" s="68"/>
      <c r="J47" s="68"/>
      <c r="K47" s="68"/>
      <c r="L47" s="68"/>
      <c r="M47" s="68"/>
      <c r="N47" s="448"/>
      <c r="O47" s="449"/>
      <c r="P47" s="449"/>
      <c r="Q47" s="449"/>
      <c r="R47" s="449"/>
      <c r="S47" s="450"/>
      <c r="T47" s="448"/>
      <c r="U47" s="449"/>
      <c r="V47" s="449"/>
      <c r="W47" s="449"/>
      <c r="X47" s="449"/>
      <c r="Y47" s="450"/>
      <c r="Z47" s="448"/>
      <c r="AA47" s="449"/>
      <c r="AB47" s="449"/>
      <c r="AC47" s="449"/>
      <c r="AD47" s="449"/>
      <c r="AE47" s="450"/>
      <c r="AF47" s="448"/>
      <c r="AG47" s="449"/>
      <c r="AH47" s="449"/>
      <c r="AI47" s="449"/>
      <c r="AJ47" s="449"/>
      <c r="AK47" s="450"/>
      <c r="AL47" s="448"/>
      <c r="AM47" s="449"/>
      <c r="AN47" s="449"/>
      <c r="AO47" s="449"/>
      <c r="AP47" s="449"/>
      <c r="AQ47" s="450"/>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row>
    <row r="48" spans="5:84">
      <c r="E48" s="68"/>
      <c r="F48" s="68"/>
      <c r="G48" s="68"/>
      <c r="H48" s="68"/>
      <c r="I48" s="68"/>
      <c r="J48" s="68"/>
      <c r="K48" s="68"/>
      <c r="L48" s="68"/>
      <c r="M48" s="68"/>
      <c r="N48" s="448"/>
      <c r="O48" s="449"/>
      <c r="P48" s="449"/>
      <c r="Q48" s="449"/>
      <c r="R48" s="449"/>
      <c r="S48" s="450"/>
      <c r="T48" s="448"/>
      <c r="U48" s="449"/>
      <c r="V48" s="449"/>
      <c r="W48" s="449"/>
      <c r="X48" s="449"/>
      <c r="Y48" s="450"/>
      <c r="Z48" s="448"/>
      <c r="AA48" s="449"/>
      <c r="AB48" s="449"/>
      <c r="AC48" s="449"/>
      <c r="AD48" s="449"/>
      <c r="AE48" s="450"/>
      <c r="AF48" s="448"/>
      <c r="AG48" s="449"/>
      <c r="AH48" s="449"/>
      <c r="AI48" s="449"/>
      <c r="AJ48" s="449"/>
      <c r="AK48" s="450"/>
      <c r="AL48" s="448"/>
      <c r="AM48" s="449"/>
      <c r="AN48" s="449"/>
      <c r="AO48" s="449"/>
      <c r="AP48" s="449"/>
      <c r="AQ48" s="450"/>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row>
    <row r="49" spans="5:84">
      <c r="E49" s="68"/>
      <c r="F49" s="68"/>
      <c r="G49" s="68"/>
      <c r="H49" s="68"/>
      <c r="I49" s="68"/>
      <c r="J49" s="68"/>
      <c r="K49" s="68"/>
      <c r="L49" s="68"/>
      <c r="M49" s="68"/>
      <c r="N49" s="448"/>
      <c r="O49" s="449"/>
      <c r="P49" s="449"/>
      <c r="Q49" s="449"/>
      <c r="R49" s="449"/>
      <c r="S49" s="450"/>
      <c r="T49" s="448"/>
      <c r="U49" s="449"/>
      <c r="V49" s="449"/>
      <c r="W49" s="449"/>
      <c r="X49" s="449"/>
      <c r="Y49" s="450"/>
      <c r="Z49" s="448"/>
      <c r="AA49" s="449"/>
      <c r="AB49" s="449"/>
      <c r="AC49" s="449"/>
      <c r="AD49" s="449"/>
      <c r="AE49" s="450"/>
      <c r="AF49" s="448"/>
      <c r="AG49" s="449"/>
      <c r="AH49" s="449"/>
      <c r="AI49" s="449"/>
      <c r="AJ49" s="449"/>
      <c r="AK49" s="450"/>
      <c r="AL49" s="448"/>
      <c r="AM49" s="449"/>
      <c r="AN49" s="449"/>
      <c r="AO49" s="449"/>
      <c r="AP49" s="449"/>
      <c r="AQ49" s="450"/>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row>
    <row r="50" spans="5:84">
      <c r="E50" s="68"/>
      <c r="F50" s="68"/>
      <c r="G50" s="68"/>
      <c r="H50" s="68"/>
      <c r="I50" s="68"/>
      <c r="J50" s="68"/>
      <c r="K50" s="68"/>
      <c r="L50" s="68"/>
      <c r="M50" s="68"/>
      <c r="N50" s="448"/>
      <c r="O50" s="449"/>
      <c r="P50" s="449"/>
      <c r="Q50" s="449"/>
      <c r="R50" s="449"/>
      <c r="S50" s="450"/>
      <c r="T50" s="448"/>
      <c r="U50" s="449"/>
      <c r="V50" s="449"/>
      <c r="W50" s="449"/>
      <c r="X50" s="449"/>
      <c r="Y50" s="450"/>
      <c r="Z50" s="448"/>
      <c r="AA50" s="449"/>
      <c r="AB50" s="449"/>
      <c r="AC50" s="449"/>
      <c r="AD50" s="449"/>
      <c r="AE50" s="450"/>
      <c r="AF50" s="448"/>
      <c r="AG50" s="449"/>
      <c r="AH50" s="449"/>
      <c r="AI50" s="449"/>
      <c r="AJ50" s="449"/>
      <c r="AK50" s="450"/>
      <c r="AL50" s="448"/>
      <c r="AM50" s="449"/>
      <c r="AN50" s="449"/>
      <c r="AO50" s="449"/>
      <c r="AP50" s="449"/>
      <c r="AQ50" s="450"/>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row>
    <row r="51" spans="5:84" ht="14.45" thickBot="1">
      <c r="E51" s="68"/>
      <c r="F51" s="68"/>
      <c r="G51" s="68"/>
      <c r="H51" s="68"/>
      <c r="I51" s="68"/>
      <c r="J51" s="68"/>
      <c r="K51" s="68"/>
      <c r="L51" s="68"/>
      <c r="M51" s="68"/>
      <c r="N51" s="451"/>
      <c r="O51" s="452"/>
      <c r="P51" s="452"/>
      <c r="Q51" s="452"/>
      <c r="R51" s="452"/>
      <c r="S51" s="453"/>
      <c r="T51" s="451"/>
      <c r="U51" s="452"/>
      <c r="V51" s="452"/>
      <c r="W51" s="452"/>
      <c r="X51" s="452"/>
      <c r="Y51" s="453"/>
      <c r="Z51" s="451"/>
      <c r="AA51" s="452"/>
      <c r="AB51" s="452"/>
      <c r="AC51" s="452"/>
      <c r="AD51" s="452"/>
      <c r="AE51" s="453"/>
      <c r="AF51" s="451"/>
      <c r="AG51" s="452"/>
      <c r="AH51" s="452"/>
      <c r="AI51" s="452"/>
      <c r="AJ51" s="452"/>
      <c r="AK51" s="453"/>
      <c r="AL51" s="451"/>
      <c r="AM51" s="452"/>
      <c r="AN51" s="452"/>
      <c r="AO51" s="452"/>
      <c r="AP51" s="452"/>
      <c r="AQ51" s="453"/>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row>
    <row r="52" spans="5:84">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row>
    <row r="53" spans="5:84" ht="15" customHeight="1">
      <c r="E53" s="68"/>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row>
    <row r="54" spans="5:84" ht="15" customHeight="1">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row>
    <row r="55" spans="5:84">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row>
    <row r="56" spans="5:84">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row>
    <row r="57" spans="5:84">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row>
    <row r="58" spans="5:84">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row>
    <row r="59" spans="5:84">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row>
    <row r="60" spans="5:84">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row>
    <row r="61" spans="5:84">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row>
    <row r="62" spans="5:84">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row>
    <row r="63" spans="5:84">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row>
    <row r="64" spans="5:84">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row>
    <row r="65" spans="5:84">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row>
    <row r="66" spans="5:84">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row>
    <row r="67" spans="5:84">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row>
    <row r="68" spans="5:84">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row>
    <row r="69" spans="5:84">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row>
    <row r="70" spans="5:84">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row>
    <row r="71" spans="5:84">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row>
    <row r="72" spans="5:84">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row>
    <row r="73" spans="5:84">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row>
    <row r="74" spans="5:84">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row>
    <row r="75" spans="5:84">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row>
    <row r="76" spans="5:84">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row>
    <row r="77" spans="5:84">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row>
    <row r="78" spans="5:84">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row>
    <row r="79" spans="5:84">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row>
    <row r="80" spans="5:84">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row>
    <row r="81" spans="5:67">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row>
    <row r="82" spans="5:67">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row>
    <row r="83" spans="5:67">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row>
    <row r="84" spans="5:67">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row>
    <row r="85" spans="5:67">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row>
    <row r="86" spans="5:67">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row>
    <row r="87" spans="5:67">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row>
    <row r="88" spans="5:67">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row>
    <row r="89" spans="5:67">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row>
    <row r="90" spans="5:67">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row>
    <row r="91" spans="5:67">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row>
    <row r="92" spans="5:67">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row>
    <row r="93" spans="5:67">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row>
    <row r="94" spans="5:67">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row>
    <row r="95" spans="5:67">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row>
    <row r="96" spans="5:67">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row>
    <row r="97" spans="5:67">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row>
    <row r="98" spans="5:67">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row>
    <row r="99" spans="5:67">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row>
    <row r="100" spans="5:67">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row>
    <row r="101" spans="5:67">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row>
    <row r="102" spans="5:67">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row>
    <row r="103" spans="5:67">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row>
    <row r="104" spans="5:67">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row>
    <row r="105" spans="5:67">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row>
    <row r="106" spans="5:67">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row>
    <row r="107" spans="5:67">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row>
    <row r="108" spans="5:67">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row>
    <row r="109" spans="5:67">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row>
    <row r="110" spans="5:67">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c r="BL110" s="68"/>
      <c r="BM110" s="68"/>
      <c r="BN110" s="68"/>
      <c r="BO110" s="68"/>
    </row>
    <row r="111" spans="5:67">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row>
    <row r="112" spans="5:67">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row>
    <row r="113" spans="5:67">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row>
    <row r="114" spans="5:67">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row>
    <row r="115" spans="5:67">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row>
    <row r="116" spans="5:67">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row>
    <row r="117" spans="5:67">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row>
    <row r="118" spans="5:67">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row>
    <row r="119" spans="5:67">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row>
    <row r="120" spans="5:67">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row>
    <row r="121" spans="5:67">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row>
    <row r="122" spans="5:67">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row>
    <row r="123" spans="5:67">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row>
    <row r="124" spans="5:67">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row>
    <row r="125" spans="5:67">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row>
    <row r="126" spans="5:67">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row>
    <row r="127" spans="5:67">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row>
    <row r="128" spans="5:67">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row>
    <row r="129" spans="6:67">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row>
    <row r="130" spans="6:67">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row>
    <row r="131" spans="6:67">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row>
    <row r="132" spans="6:67">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row>
    <row r="133" spans="6:67">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c r="BL133" s="68"/>
      <c r="BM133" s="68"/>
      <c r="BN133" s="68"/>
      <c r="BO133" s="68"/>
    </row>
    <row r="134" spans="6:67">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row>
    <row r="135" spans="6:67">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c r="BL135" s="68"/>
      <c r="BM135" s="68"/>
      <c r="BN135" s="68"/>
      <c r="BO135" s="68"/>
    </row>
    <row r="136" spans="6:67">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row>
    <row r="137" spans="6:67">
      <c r="F137" s="68"/>
      <c r="G137" s="68"/>
      <c r="H137" s="68"/>
      <c r="I137" s="68"/>
      <c r="J137" s="68"/>
      <c r="K137" s="68"/>
      <c r="L137" s="68"/>
      <c r="M137" s="68"/>
    </row>
    <row r="138" spans="6:67">
      <c r="F138" s="68"/>
      <c r="G138" s="68"/>
      <c r="H138" s="68"/>
      <c r="I138" s="68"/>
      <c r="J138" s="68"/>
      <c r="K138" s="68"/>
      <c r="L138" s="68"/>
      <c r="M138" s="68"/>
    </row>
    <row r="139" spans="6:67">
      <c r="F139" s="68"/>
      <c r="G139" s="68"/>
      <c r="H139" s="68"/>
      <c r="I139" s="68"/>
      <c r="J139" s="68"/>
      <c r="K139" s="68"/>
      <c r="L139" s="68"/>
      <c r="M139" s="68"/>
    </row>
    <row r="140" spans="6:67">
      <c r="F140" s="68"/>
      <c r="G140" s="68"/>
      <c r="H140" s="68"/>
      <c r="I140" s="68"/>
      <c r="J140" s="68"/>
      <c r="K140" s="68"/>
      <c r="L140" s="68"/>
      <c r="M140" s="68"/>
    </row>
  </sheetData>
  <mergeCells count="41">
    <mergeCell ref="F2:M4"/>
    <mergeCell ref="N2:AQ4"/>
    <mergeCell ref="F6:H45"/>
    <mergeCell ref="I6:M13"/>
    <mergeCell ref="N6:S13"/>
    <mergeCell ref="T6:Y13"/>
    <mergeCell ref="Z6:AE13"/>
    <mergeCell ref="AF6:AK13"/>
    <mergeCell ref="AL6:AQ13"/>
    <mergeCell ref="Z14:AE21"/>
    <mergeCell ref="I22:M29"/>
    <mergeCell ref="AF22:AK29"/>
    <mergeCell ref="N30:S37"/>
    <mergeCell ref="I30:M37"/>
    <mergeCell ref="AF38:AK45"/>
    <mergeCell ref="AL38:AQ45"/>
    <mergeCell ref="AS6:AX13"/>
    <mergeCell ref="I14:M21"/>
    <mergeCell ref="AF14:AK21"/>
    <mergeCell ref="AL14:AQ21"/>
    <mergeCell ref="N14:S21"/>
    <mergeCell ref="T14:Y21"/>
    <mergeCell ref="AS14:AX21"/>
    <mergeCell ref="AS22:AX29"/>
    <mergeCell ref="AL22:AQ29"/>
    <mergeCell ref="T22:Y29"/>
    <mergeCell ref="Z22:AE29"/>
    <mergeCell ref="Z30:AE37"/>
    <mergeCell ref="AF30:AK37"/>
    <mergeCell ref="AL30:AQ37"/>
    <mergeCell ref="T30:Y37"/>
    <mergeCell ref="Z38:AE45"/>
    <mergeCell ref="AS30:AX37"/>
    <mergeCell ref="I38:M45"/>
    <mergeCell ref="N38:S45"/>
    <mergeCell ref="T38:Y45"/>
    <mergeCell ref="N46:S51"/>
    <mergeCell ref="T46:Y51"/>
    <mergeCell ref="Z46:AE51"/>
    <mergeCell ref="AF46:AK51"/>
    <mergeCell ref="AL46:AQ5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77E1C-72FC-4C1B-919F-B3759E4D07A5}">
  <dimension ref="B1:F16"/>
  <sheetViews>
    <sheetView topLeftCell="A11" workbookViewId="0">
      <selection activeCell="I6" sqref="I6"/>
    </sheetView>
  </sheetViews>
  <sheetFormatPr defaultColWidth="14.28515625" defaultRowHeight="13.9"/>
  <cols>
    <col min="1" max="2" width="14.28515625" style="107"/>
    <col min="3" max="3" width="17" style="107" customWidth="1"/>
    <col min="4" max="4" width="14.28515625" style="107"/>
    <col min="5" max="5" width="46" style="107" customWidth="1"/>
    <col min="6" max="16384" width="14.28515625" style="107"/>
  </cols>
  <sheetData>
    <row r="1" spans="2:6" ht="18.600000000000001" thickBot="1">
      <c r="B1" s="538" t="s">
        <v>365</v>
      </c>
      <c r="C1" s="539"/>
      <c r="D1" s="539"/>
      <c r="E1" s="539"/>
      <c r="F1" s="540"/>
    </row>
    <row r="2" spans="2:6" ht="16.149999999999999" thickBot="1">
      <c r="B2" s="108"/>
      <c r="C2" s="108"/>
      <c r="D2" s="108"/>
      <c r="E2" s="108"/>
      <c r="F2" s="108"/>
    </row>
    <row r="3" spans="2:6" ht="16.149999999999999" thickBot="1">
      <c r="B3" s="541" t="s">
        <v>366</v>
      </c>
      <c r="C3" s="542"/>
      <c r="D3" s="542"/>
      <c r="E3" s="109" t="s">
        <v>367</v>
      </c>
      <c r="F3" s="110" t="s">
        <v>368</v>
      </c>
    </row>
    <row r="4" spans="2:6" ht="31.15">
      <c r="B4" s="543" t="s">
        <v>369</v>
      </c>
      <c r="C4" s="545" t="s">
        <v>370</v>
      </c>
      <c r="D4" s="111" t="s">
        <v>78</v>
      </c>
      <c r="E4" s="112" t="s">
        <v>371</v>
      </c>
      <c r="F4" s="113">
        <v>0.25</v>
      </c>
    </row>
    <row r="5" spans="2:6" ht="46.9">
      <c r="B5" s="544"/>
      <c r="C5" s="546"/>
      <c r="D5" s="114" t="s">
        <v>63</v>
      </c>
      <c r="E5" s="115" t="s">
        <v>372</v>
      </c>
      <c r="F5" s="116">
        <v>0.15</v>
      </c>
    </row>
    <row r="6" spans="2:6" ht="46.9">
      <c r="B6" s="544"/>
      <c r="C6" s="546"/>
      <c r="D6" s="114" t="s">
        <v>92</v>
      </c>
      <c r="E6" s="115" t="s">
        <v>373</v>
      </c>
      <c r="F6" s="116">
        <v>0.1</v>
      </c>
    </row>
    <row r="7" spans="2:6" ht="62.45">
      <c r="B7" s="544"/>
      <c r="C7" s="546" t="s">
        <v>374</v>
      </c>
      <c r="D7" s="114" t="s">
        <v>375</v>
      </c>
      <c r="E7" s="115" t="s">
        <v>376</v>
      </c>
      <c r="F7" s="116">
        <v>0.25</v>
      </c>
    </row>
    <row r="8" spans="2:6" ht="31.15">
      <c r="B8" s="544"/>
      <c r="C8" s="546"/>
      <c r="D8" s="114" t="s">
        <v>64</v>
      </c>
      <c r="E8" s="115" t="s">
        <v>377</v>
      </c>
      <c r="F8" s="116">
        <v>0.15</v>
      </c>
    </row>
    <row r="9" spans="2:6" ht="46.9">
      <c r="B9" s="544" t="s">
        <v>378</v>
      </c>
      <c r="C9" s="546" t="s">
        <v>379</v>
      </c>
      <c r="D9" s="114" t="s">
        <v>65</v>
      </c>
      <c r="E9" s="115" t="s">
        <v>380</v>
      </c>
      <c r="F9" s="117" t="s">
        <v>381</v>
      </c>
    </row>
    <row r="10" spans="2:6" ht="46.9">
      <c r="B10" s="544"/>
      <c r="C10" s="546"/>
      <c r="D10" s="114" t="s">
        <v>382</v>
      </c>
      <c r="E10" s="115" t="s">
        <v>383</v>
      </c>
      <c r="F10" s="117" t="s">
        <v>381</v>
      </c>
    </row>
    <row r="11" spans="2:6" ht="46.9">
      <c r="B11" s="544"/>
      <c r="C11" s="546" t="s">
        <v>384</v>
      </c>
      <c r="D11" s="114" t="s">
        <v>66</v>
      </c>
      <c r="E11" s="115" t="s">
        <v>385</v>
      </c>
      <c r="F11" s="117" t="s">
        <v>381</v>
      </c>
    </row>
    <row r="12" spans="2:6" ht="46.9">
      <c r="B12" s="544"/>
      <c r="C12" s="546"/>
      <c r="D12" s="114" t="s">
        <v>81</v>
      </c>
      <c r="E12" s="115" t="s">
        <v>386</v>
      </c>
      <c r="F12" s="117" t="s">
        <v>381</v>
      </c>
    </row>
    <row r="13" spans="2:6" ht="31.15">
      <c r="B13" s="544"/>
      <c r="C13" s="546" t="s">
        <v>387</v>
      </c>
      <c r="D13" s="114" t="s">
        <v>388</v>
      </c>
      <c r="E13" s="115" t="s">
        <v>389</v>
      </c>
      <c r="F13" s="117" t="s">
        <v>381</v>
      </c>
    </row>
    <row r="14" spans="2:6" ht="16.149999999999999" thickBot="1">
      <c r="B14" s="547"/>
      <c r="C14" s="548"/>
      <c r="D14" s="118" t="s">
        <v>390</v>
      </c>
      <c r="E14" s="119" t="s">
        <v>391</v>
      </c>
      <c r="F14" s="120" t="s">
        <v>381</v>
      </c>
    </row>
    <row r="15" spans="2:6" ht="40.9" customHeight="1">
      <c r="B15" s="537" t="s">
        <v>392</v>
      </c>
      <c r="C15" s="537"/>
      <c r="D15" s="537"/>
      <c r="E15" s="537"/>
      <c r="F15" s="537"/>
    </row>
    <row r="16" spans="2:6">
      <c r="B16" s="121"/>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F22D9E8B6BF4B4E8C93CC7643F87C81" ma:contentTypeVersion="16" ma:contentTypeDescription="Crear nuevo documento." ma:contentTypeScope="" ma:versionID="5e2df699da1d35feae7af3012a7f93e6">
  <xsd:schema xmlns:xsd="http://www.w3.org/2001/XMLSchema" xmlns:xs="http://www.w3.org/2001/XMLSchema" xmlns:p="http://schemas.microsoft.com/office/2006/metadata/properties" xmlns:ns3="ec071e78-3a3e-4a2c-9878-2cba5a62ff21" xmlns:ns4="493f14cd-1a7c-4423-82ff-eb218761b278" targetNamespace="http://schemas.microsoft.com/office/2006/metadata/properties" ma:root="true" ma:fieldsID="97af338e3fe6b4e318939578580d98e9" ns3:_="" ns4:_="">
    <xsd:import namespace="ec071e78-3a3e-4a2c-9878-2cba5a62ff21"/>
    <xsd:import namespace="493f14cd-1a7c-4423-82ff-eb218761b27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071e78-3a3e-4a2c-9878-2cba5a62ff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3f14cd-1a7c-4423-82ff-eb218761b278"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c071e78-3a3e-4a2c-9878-2cba5a62ff21" xsi:nil="true"/>
  </documentManagement>
</p:properties>
</file>

<file path=customXml/itemProps1.xml><?xml version="1.0" encoding="utf-8"?>
<ds:datastoreItem xmlns:ds="http://schemas.openxmlformats.org/officeDocument/2006/customXml" ds:itemID="{4AE62B8E-1EA3-45FA-91BD-C9655CA23880}"/>
</file>

<file path=customXml/itemProps2.xml><?xml version="1.0" encoding="utf-8"?>
<ds:datastoreItem xmlns:ds="http://schemas.openxmlformats.org/officeDocument/2006/customXml" ds:itemID="{F7F5741A-2323-45BA-AF69-D2F6DE8E49A3}"/>
</file>

<file path=customXml/itemProps3.xml><?xml version="1.0" encoding="utf-8"?>
<ds:datastoreItem xmlns:ds="http://schemas.openxmlformats.org/officeDocument/2006/customXml" ds:itemID="{ECAD5452-517F-464D-82E5-6D1FFDADA1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TATIANA ANDREA MAYA</cp:lastModifiedBy>
  <cp:revision/>
  <dcterms:created xsi:type="dcterms:W3CDTF">2024-08-29T19:14:24Z</dcterms:created>
  <dcterms:modified xsi:type="dcterms:W3CDTF">2026-04-16T21:01:12Z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0x010100DF22D9E8B6BF4B4E8C93CC7643F87C81</vt:lpwstr>
  </property>
</Properties>
</file>