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hidePivotFieldList="1" defaultThemeVersion="166925"/>
  <mc:AlternateContent xmlns:mc="http://schemas.openxmlformats.org/markup-compatibility/2006">
    <mc:Choice Requires="x15">
      <x15ac:absPath xmlns:x15ac="http://schemas.microsoft.com/office/spreadsheetml/2010/11/ac" url="https://vivagov-my.sharepoint.com/personal/comunicaciones_viva_gov_co/Documents/SIG/SIG/2. MAPA RIESGOS INSTITUCIONAL/"/>
    </mc:Choice>
  </mc:AlternateContent>
  <xr:revisionPtr revIDLastSave="41" documentId="13_ncr:1_{1B8CEF6A-BF48-4568-8CF8-165974BB8CD9}" xr6:coauthVersionLast="47" xr6:coauthVersionMax="47" xr10:uidLastSave="{F5CA4B10-F9C4-47CA-97F3-F82F0EB9848D}"/>
  <bookViews>
    <workbookView xWindow="-108" yWindow="-108" windowWidth="23256" windowHeight="12456" firstSheet="1" activeTab="1" xr2:uid="{E386A93A-E971-4076-A532-18D7ABEC9E2D}"/>
  </bookViews>
  <sheets>
    <sheet name="INSTRUCCIONES" sheetId="3" r:id="rId1"/>
    <sheet name="MATRIZ DE RIESGOS" sheetId="1" r:id="rId2"/>
    <sheet name="CONTEXTO ESTRATÉGICO" sheetId="4" r:id="rId3"/>
    <sheet name="CLASIFICACIÓN DEL RIESGO" sheetId="5" r:id="rId4"/>
    <sheet name="PROBABILIDAD" sheetId="6" r:id="rId5"/>
    <sheet name="IMPACTO" sheetId="7" r:id="rId6"/>
    <sheet name="MATRIZ CALOR INHERENTE" sheetId="9" r:id="rId7"/>
    <sheet name="MATRIZ DE CALOR RESIDUAL" sheetId="10" r:id="rId8"/>
    <sheet name="VALORACIÓN DE CONTROLES" sheetId="11" r:id="rId9"/>
    <sheet name="Validacion de datos" sheetId="2" state="hidden" r:id="rId10"/>
  </sheets>
  <externalReferences>
    <externalReference r:id="rId11"/>
    <externalReference r:id="rId12"/>
  </externalReferences>
  <definedNames>
    <definedName name="_xlnm._FilterDatabase" localSheetId="1" hidden="1">'MATRIZ DE RIESGOS'!$B$1:$B$114</definedName>
    <definedName name="_xlnm.Print_Area" localSheetId="1">'MATRIZ DE RIESGOS'!$A$1:$AK$114</definedName>
    <definedName name="CONTEXTO_ESTRATÉGICO__A1" localSheetId="2">INSTRUCCIONES!$N$6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9" i="1" l="1"/>
  <c r="Q29" i="1"/>
  <c r="O29" i="1"/>
  <c r="N29" i="1"/>
  <c r="N30" i="1"/>
  <c r="K29" i="1"/>
  <c r="L29" i="1"/>
  <c r="U80" i="1" l="1"/>
  <c r="N80" i="1"/>
  <c r="O80" i="1" s="1"/>
  <c r="K80" i="1"/>
  <c r="L80" i="1" s="1"/>
  <c r="U79" i="1"/>
  <c r="N79" i="1"/>
  <c r="O79" i="1" s="1"/>
  <c r="P79" i="1" s="1"/>
  <c r="K79" i="1"/>
  <c r="U78" i="1"/>
  <c r="N78" i="1"/>
  <c r="O78" i="1" s="1"/>
  <c r="P78" i="1" s="1"/>
  <c r="K78" i="1"/>
  <c r="L78" i="1" s="1"/>
  <c r="U77" i="1"/>
  <c r="N77" i="1"/>
  <c r="O77" i="1" s="1"/>
  <c r="P77" i="1" s="1"/>
  <c r="K77" i="1"/>
  <c r="L77" i="1" s="1"/>
  <c r="U76" i="1"/>
  <c r="N76" i="1"/>
  <c r="O76" i="1" s="1"/>
  <c r="P76" i="1" s="1"/>
  <c r="K76" i="1"/>
  <c r="L76" i="1" s="1"/>
  <c r="U75" i="1"/>
  <c r="N75" i="1"/>
  <c r="O75" i="1" s="1"/>
  <c r="K75" i="1"/>
  <c r="L75" i="1" s="1"/>
  <c r="C75" i="1"/>
  <c r="K66" i="1"/>
  <c r="L66" i="1" s="1"/>
  <c r="N66" i="1"/>
  <c r="O66" i="1" s="1"/>
  <c r="P66" i="1" s="1"/>
  <c r="U66" i="1"/>
  <c r="K67" i="1"/>
  <c r="L67" i="1" s="1"/>
  <c r="N67" i="1"/>
  <c r="O67" i="1" s="1"/>
  <c r="P67" i="1" s="1"/>
  <c r="U67" i="1"/>
  <c r="AB67" i="1" s="1"/>
  <c r="K68" i="1"/>
  <c r="L68" i="1" s="1"/>
  <c r="N68" i="1"/>
  <c r="O68" i="1" s="1"/>
  <c r="P68" i="1" s="1"/>
  <c r="U68" i="1"/>
  <c r="K69" i="1"/>
  <c r="N69" i="1"/>
  <c r="O69" i="1" s="1"/>
  <c r="P69" i="1" s="1"/>
  <c r="U69" i="1"/>
  <c r="K70" i="1"/>
  <c r="L70" i="1"/>
  <c r="N70" i="1"/>
  <c r="O70" i="1" s="1"/>
  <c r="P70" i="1" s="1"/>
  <c r="U70" i="1"/>
  <c r="AB70" i="1" s="1"/>
  <c r="K71" i="1"/>
  <c r="L71" i="1"/>
  <c r="N71" i="1"/>
  <c r="O71" i="1" s="1"/>
  <c r="U71" i="1"/>
  <c r="K72" i="1"/>
  <c r="L72" i="1" s="1"/>
  <c r="N72" i="1"/>
  <c r="O72" i="1" s="1"/>
  <c r="Q72" i="1" s="1"/>
  <c r="U72" i="1"/>
  <c r="K73" i="1"/>
  <c r="L73" i="1"/>
  <c r="N73" i="1"/>
  <c r="O73" i="1" s="1"/>
  <c r="P73" i="1" s="1"/>
  <c r="U73" i="1"/>
  <c r="AB73" i="1" s="1"/>
  <c r="K74" i="1"/>
  <c r="L74" i="1" s="1"/>
  <c r="N74" i="1"/>
  <c r="O74" i="1" s="1"/>
  <c r="P74" i="1" s="1"/>
  <c r="U74" i="1"/>
  <c r="C66" i="1"/>
  <c r="X66" i="1"/>
  <c r="X67" i="1"/>
  <c r="X68" i="1"/>
  <c r="X69" i="1"/>
  <c r="X70" i="1"/>
  <c r="X71" i="1"/>
  <c r="X72" i="1"/>
  <c r="X73" i="1"/>
  <c r="X74" i="1"/>
  <c r="X25" i="1"/>
  <c r="U25" i="1"/>
  <c r="O25" i="1"/>
  <c r="P25" i="1" s="1"/>
  <c r="N25" i="1"/>
  <c r="K25" i="1"/>
  <c r="L25" i="1" s="1"/>
  <c r="AB25" i="1" s="1"/>
  <c r="X24" i="1"/>
  <c r="U24" i="1"/>
  <c r="AB24" i="1" s="1"/>
  <c r="O24" i="1"/>
  <c r="P24" i="1" s="1"/>
  <c r="N24" i="1"/>
  <c r="K24" i="1"/>
  <c r="Q24" i="1" s="1"/>
  <c r="X23" i="1"/>
  <c r="U23" i="1"/>
  <c r="N23" i="1"/>
  <c r="O23" i="1" s="1"/>
  <c r="P23" i="1" s="1"/>
  <c r="L23" i="1"/>
  <c r="K23" i="1"/>
  <c r="Q23" i="1" s="1"/>
  <c r="X22" i="1"/>
  <c r="U22" i="1"/>
  <c r="N22" i="1"/>
  <c r="O22" i="1" s="1"/>
  <c r="K22" i="1"/>
  <c r="L22" i="1" s="1"/>
  <c r="C22" i="1"/>
  <c r="X65" i="1"/>
  <c r="U65" i="1"/>
  <c r="N65" i="1"/>
  <c r="O65" i="1" s="1"/>
  <c r="P65" i="1" s="1"/>
  <c r="K65" i="1"/>
  <c r="X64" i="1"/>
  <c r="U64" i="1"/>
  <c r="N64" i="1"/>
  <c r="O64" i="1" s="1"/>
  <c r="P64" i="1" s="1"/>
  <c r="K64" i="1"/>
  <c r="L64" i="1" s="1"/>
  <c r="X63" i="1"/>
  <c r="U63" i="1"/>
  <c r="N63" i="1"/>
  <c r="O63" i="1" s="1"/>
  <c r="P63" i="1" s="1"/>
  <c r="K63" i="1"/>
  <c r="L63" i="1" s="1"/>
  <c r="X62" i="1"/>
  <c r="U62" i="1"/>
  <c r="N62" i="1"/>
  <c r="O62" i="1" s="1"/>
  <c r="P62" i="1" s="1"/>
  <c r="K62" i="1"/>
  <c r="Q62" i="1" s="1"/>
  <c r="X61" i="1"/>
  <c r="U61" i="1"/>
  <c r="N61" i="1"/>
  <c r="O61" i="1" s="1"/>
  <c r="P61" i="1" s="1"/>
  <c r="K61" i="1"/>
  <c r="X60" i="1"/>
  <c r="U60" i="1"/>
  <c r="N60" i="1"/>
  <c r="O60" i="1" s="1"/>
  <c r="P60" i="1" s="1"/>
  <c r="K60" i="1"/>
  <c r="L60" i="1" s="1"/>
  <c r="C60" i="1"/>
  <c r="X97" i="1"/>
  <c r="U97" i="1"/>
  <c r="N97" i="1"/>
  <c r="O97" i="1" s="1"/>
  <c r="P97" i="1" s="1"/>
  <c r="K97" i="1"/>
  <c r="X96" i="1"/>
  <c r="U96" i="1"/>
  <c r="N96" i="1"/>
  <c r="O96" i="1" s="1"/>
  <c r="P96" i="1" s="1"/>
  <c r="AF96" i="1" s="1"/>
  <c r="AE96" i="1" s="1"/>
  <c r="K96" i="1"/>
  <c r="L96" i="1" s="1"/>
  <c r="X95" i="1"/>
  <c r="U95" i="1"/>
  <c r="AB95" i="1" s="1"/>
  <c r="N95" i="1"/>
  <c r="O95" i="1" s="1"/>
  <c r="P95" i="1" s="1"/>
  <c r="K95" i="1"/>
  <c r="L95" i="1" s="1"/>
  <c r="X94" i="1"/>
  <c r="U94" i="1"/>
  <c r="N94" i="1"/>
  <c r="O94" i="1" s="1"/>
  <c r="P94" i="1" s="1"/>
  <c r="AF94" i="1" s="1"/>
  <c r="AE94" i="1" s="1"/>
  <c r="K94" i="1"/>
  <c r="X93" i="1"/>
  <c r="U93" i="1"/>
  <c r="N93" i="1"/>
  <c r="O93" i="1" s="1"/>
  <c r="P93" i="1" s="1"/>
  <c r="K93" i="1"/>
  <c r="X92" i="1"/>
  <c r="U92" i="1"/>
  <c r="N92" i="1"/>
  <c r="O92" i="1" s="1"/>
  <c r="P92" i="1" s="1"/>
  <c r="AF92" i="1" s="1"/>
  <c r="AE92" i="1" s="1"/>
  <c r="K92" i="1"/>
  <c r="L92" i="1" s="1"/>
  <c r="X91" i="1"/>
  <c r="U91" i="1"/>
  <c r="AB91" i="1" s="1"/>
  <c r="N91" i="1"/>
  <c r="O91" i="1" s="1"/>
  <c r="P91" i="1" s="1"/>
  <c r="K91" i="1"/>
  <c r="L91" i="1" s="1"/>
  <c r="X90" i="1"/>
  <c r="U90" i="1"/>
  <c r="N90" i="1"/>
  <c r="O90" i="1" s="1"/>
  <c r="P90" i="1" s="1"/>
  <c r="AF90" i="1" s="1"/>
  <c r="AE90" i="1" s="1"/>
  <c r="K90" i="1"/>
  <c r="X89" i="1"/>
  <c r="U89" i="1"/>
  <c r="N89" i="1"/>
  <c r="O89" i="1" s="1"/>
  <c r="P89" i="1" s="1"/>
  <c r="AF89" i="1" s="1"/>
  <c r="AE89" i="1" s="1"/>
  <c r="K89" i="1"/>
  <c r="X88" i="1"/>
  <c r="U88" i="1"/>
  <c r="N88" i="1"/>
  <c r="O88" i="1" s="1"/>
  <c r="P88" i="1" s="1"/>
  <c r="AF88" i="1" s="1"/>
  <c r="AE88" i="1" s="1"/>
  <c r="K88" i="1"/>
  <c r="L88" i="1" s="1"/>
  <c r="X87" i="1"/>
  <c r="U87" i="1"/>
  <c r="AB87" i="1" s="1"/>
  <c r="N87" i="1"/>
  <c r="O87" i="1" s="1"/>
  <c r="P87" i="1" s="1"/>
  <c r="K87" i="1"/>
  <c r="L87" i="1" s="1"/>
  <c r="C87" i="1"/>
  <c r="X28" i="1"/>
  <c r="U28" i="1"/>
  <c r="N28" i="1"/>
  <c r="O28" i="1" s="1"/>
  <c r="P28" i="1" s="1"/>
  <c r="K28" i="1"/>
  <c r="X27" i="1"/>
  <c r="U27" i="1"/>
  <c r="N27" i="1"/>
  <c r="O27" i="1" s="1"/>
  <c r="P27" i="1" s="1"/>
  <c r="K27" i="1"/>
  <c r="L27" i="1" s="1"/>
  <c r="X26" i="1"/>
  <c r="U26" i="1"/>
  <c r="AB26" i="1" s="1"/>
  <c r="N26" i="1"/>
  <c r="O26" i="1" s="1"/>
  <c r="P26" i="1" s="1"/>
  <c r="K26" i="1"/>
  <c r="L26" i="1" s="1"/>
  <c r="C26" i="1"/>
  <c r="X43" i="1"/>
  <c r="U43" i="1"/>
  <c r="AB43" i="1" s="1"/>
  <c r="N43" i="1"/>
  <c r="O43" i="1" s="1"/>
  <c r="K43" i="1"/>
  <c r="L43" i="1" s="1"/>
  <c r="X42" i="1"/>
  <c r="U42" i="1"/>
  <c r="N42" i="1"/>
  <c r="O42" i="1" s="1"/>
  <c r="P42" i="1" s="1"/>
  <c r="K42" i="1"/>
  <c r="L42" i="1" s="1"/>
  <c r="X41" i="1"/>
  <c r="U41" i="1"/>
  <c r="AF41" i="1" s="1"/>
  <c r="AE41" i="1" s="1"/>
  <c r="N41" i="1"/>
  <c r="O41" i="1" s="1"/>
  <c r="P41" i="1" s="1"/>
  <c r="K41" i="1"/>
  <c r="Q41" i="1" s="1"/>
  <c r="C41" i="1"/>
  <c r="X21" i="1"/>
  <c r="U21" i="1"/>
  <c r="N21" i="1"/>
  <c r="O21" i="1" s="1"/>
  <c r="Q21" i="1" s="1"/>
  <c r="K21" i="1"/>
  <c r="L21" i="1" s="1"/>
  <c r="X20" i="1"/>
  <c r="U20" i="1"/>
  <c r="N20" i="1"/>
  <c r="O20" i="1" s="1"/>
  <c r="P20" i="1" s="1"/>
  <c r="AF20" i="1" s="1"/>
  <c r="AE20" i="1" s="1"/>
  <c r="K20" i="1"/>
  <c r="L20" i="1" s="1"/>
  <c r="X19" i="1"/>
  <c r="U19" i="1"/>
  <c r="N19" i="1"/>
  <c r="O19" i="1" s="1"/>
  <c r="K19" i="1"/>
  <c r="L19" i="1" s="1"/>
  <c r="C19" i="1"/>
  <c r="X85" i="1"/>
  <c r="U85" i="1"/>
  <c r="N85" i="1"/>
  <c r="O85" i="1" s="1"/>
  <c r="P85" i="1" s="1"/>
  <c r="K85" i="1"/>
  <c r="L85" i="1" s="1"/>
  <c r="X84" i="1"/>
  <c r="U84" i="1"/>
  <c r="N84" i="1"/>
  <c r="O84" i="1" s="1"/>
  <c r="P84" i="1" s="1"/>
  <c r="K84" i="1"/>
  <c r="L84" i="1" s="1"/>
  <c r="X83" i="1"/>
  <c r="U83" i="1"/>
  <c r="N83" i="1"/>
  <c r="O83" i="1" s="1"/>
  <c r="K83" i="1"/>
  <c r="L83" i="1" s="1"/>
  <c r="X82" i="1"/>
  <c r="U82" i="1"/>
  <c r="N82" i="1"/>
  <c r="O82" i="1" s="1"/>
  <c r="P82" i="1" s="1"/>
  <c r="K82" i="1"/>
  <c r="X81" i="1"/>
  <c r="U81" i="1"/>
  <c r="N81" i="1"/>
  <c r="O81" i="1" s="1"/>
  <c r="P81" i="1" s="1"/>
  <c r="K81" i="1"/>
  <c r="C81" i="1"/>
  <c r="L24" i="1" l="1"/>
  <c r="Q76" i="1"/>
  <c r="AF63" i="1"/>
  <c r="AE63" i="1" s="1"/>
  <c r="AB23" i="1"/>
  <c r="AB88" i="1"/>
  <c r="AD88" i="1" s="1"/>
  <c r="Q90" i="1"/>
  <c r="AB92" i="1"/>
  <c r="AD92" i="1" s="1"/>
  <c r="Q94" i="1"/>
  <c r="AB96" i="1"/>
  <c r="Q73" i="1"/>
  <c r="AF42" i="1"/>
  <c r="AE42" i="1" s="1"/>
  <c r="AF27" i="1"/>
  <c r="AE27" i="1" s="1"/>
  <c r="AF23" i="1"/>
  <c r="AE23" i="1" s="1"/>
  <c r="AB71" i="1"/>
  <c r="AD71" i="1" s="1"/>
  <c r="AB27" i="1"/>
  <c r="AD27" i="1" s="1"/>
  <c r="AF62" i="1"/>
  <c r="AE62" i="1" s="1"/>
  <c r="AB74" i="1"/>
  <c r="AC74" i="1" s="1"/>
  <c r="Q79" i="1"/>
  <c r="Q75" i="1"/>
  <c r="P75" i="1"/>
  <c r="Q80" i="1"/>
  <c r="P80" i="1"/>
  <c r="Q78" i="1"/>
  <c r="Q77" i="1"/>
  <c r="L79" i="1"/>
  <c r="Q68" i="1"/>
  <c r="Q71" i="1"/>
  <c r="P71" i="1"/>
  <c r="AF71" i="1" s="1"/>
  <c r="AE71" i="1" s="1"/>
  <c r="Q69" i="1"/>
  <c r="P72" i="1"/>
  <c r="L69" i="1"/>
  <c r="AB69" i="1" s="1"/>
  <c r="AC69" i="1" s="1"/>
  <c r="Q66" i="1"/>
  <c r="Q67" i="1"/>
  <c r="Q74" i="1"/>
  <c r="Q70" i="1"/>
  <c r="AF68" i="1"/>
  <c r="AE68" i="1" s="1"/>
  <c r="AF67" i="1"/>
  <c r="AE67" i="1" s="1"/>
  <c r="AD74" i="1"/>
  <c r="AF72" i="1"/>
  <c r="AE72" i="1" s="1"/>
  <c r="AD67" i="1"/>
  <c r="AC67" i="1"/>
  <c r="AD73" i="1"/>
  <c r="AC73" i="1"/>
  <c r="AC70" i="1"/>
  <c r="AD70" i="1"/>
  <c r="AB66" i="1"/>
  <c r="AF73" i="1"/>
  <c r="AE73" i="1" s="1"/>
  <c r="AF69" i="1"/>
  <c r="AE69" i="1" s="1"/>
  <c r="AB72" i="1"/>
  <c r="AB68" i="1"/>
  <c r="AF70" i="1"/>
  <c r="AE70" i="1" s="1"/>
  <c r="AF66" i="1"/>
  <c r="AE66" i="1" s="1"/>
  <c r="AF74" i="1"/>
  <c r="AE74" i="1" s="1"/>
  <c r="AD23" i="1"/>
  <c r="AC23" i="1"/>
  <c r="AG23" i="1" s="1"/>
  <c r="AD24" i="1"/>
  <c r="AC24" i="1"/>
  <c r="Q22" i="1"/>
  <c r="P22" i="1"/>
  <c r="AF22" i="1" s="1"/>
  <c r="AE22" i="1" s="1"/>
  <c r="AD25" i="1"/>
  <c r="AC25" i="1"/>
  <c r="AF25" i="1"/>
  <c r="AE25" i="1" s="1"/>
  <c r="Q25" i="1"/>
  <c r="AB22" i="1"/>
  <c r="AF24" i="1"/>
  <c r="AE24" i="1" s="1"/>
  <c r="AB60" i="1"/>
  <c r="AB64" i="1"/>
  <c r="Q61" i="1"/>
  <c r="Q65" i="1"/>
  <c r="AF61" i="1"/>
  <c r="AE61" i="1" s="1"/>
  <c r="AB63" i="1"/>
  <c r="AF65" i="1"/>
  <c r="AE65" i="1" s="1"/>
  <c r="AF64" i="1"/>
  <c r="AE64" i="1" s="1"/>
  <c r="Q60" i="1"/>
  <c r="L62" i="1"/>
  <c r="AB62" i="1" s="1"/>
  <c r="Q64" i="1"/>
  <c r="L61" i="1"/>
  <c r="AB61" i="1" s="1"/>
  <c r="Q63" i="1"/>
  <c r="L65" i="1"/>
  <c r="AB65" i="1" s="1"/>
  <c r="AF60" i="1"/>
  <c r="AE60" i="1" s="1"/>
  <c r="AC88" i="1"/>
  <c r="AG88" i="1" s="1"/>
  <c r="AC92" i="1"/>
  <c r="AG92" i="1" s="1"/>
  <c r="AD96" i="1"/>
  <c r="AC96" i="1"/>
  <c r="AG96" i="1" s="1"/>
  <c r="Q89" i="1"/>
  <c r="Q93" i="1"/>
  <c r="Q97" i="1"/>
  <c r="AC95" i="1"/>
  <c r="AD95" i="1"/>
  <c r="AF97" i="1"/>
  <c r="AE97" i="1" s="1"/>
  <c r="AC87" i="1"/>
  <c r="AD87" i="1"/>
  <c r="AC91" i="1"/>
  <c r="AG91" i="1" s="1"/>
  <c r="AD91" i="1"/>
  <c r="AF93" i="1"/>
  <c r="AE93" i="1" s="1"/>
  <c r="Q88" i="1"/>
  <c r="L90" i="1"/>
  <c r="AB90" i="1" s="1"/>
  <c r="Q92" i="1"/>
  <c r="L94" i="1"/>
  <c r="AB94" i="1" s="1"/>
  <c r="Q96" i="1"/>
  <c r="AF87" i="1"/>
  <c r="AE87" i="1" s="1"/>
  <c r="AF91" i="1"/>
  <c r="AE91" i="1" s="1"/>
  <c r="AF95" i="1"/>
  <c r="AE95" i="1" s="1"/>
  <c r="Q87" i="1"/>
  <c r="L89" i="1"/>
  <c r="AB89" i="1" s="1"/>
  <c r="Q91" i="1"/>
  <c r="L93" i="1"/>
  <c r="AB93" i="1" s="1"/>
  <c r="Q95" i="1"/>
  <c r="L97" i="1"/>
  <c r="AB97" i="1" s="1"/>
  <c r="AF28" i="1"/>
  <c r="AE28" i="1" s="1"/>
  <c r="Q28" i="1"/>
  <c r="Q26" i="1"/>
  <c r="AC26" i="1"/>
  <c r="AD26" i="1"/>
  <c r="Q27" i="1"/>
  <c r="AF26" i="1"/>
  <c r="AE26" i="1" s="1"/>
  <c r="L28" i="1"/>
  <c r="AB28" i="1" s="1"/>
  <c r="Q43" i="1"/>
  <c r="P43" i="1"/>
  <c r="AF43" i="1" s="1"/>
  <c r="AE43" i="1" s="1"/>
  <c r="AD43" i="1"/>
  <c r="AC43" i="1"/>
  <c r="AB42" i="1"/>
  <c r="L41" i="1"/>
  <c r="AB41" i="1" s="1"/>
  <c r="Q42" i="1"/>
  <c r="AB19" i="1"/>
  <c r="AD19" i="1" s="1"/>
  <c r="Q81" i="1"/>
  <c r="Q85" i="1"/>
  <c r="Q20" i="1"/>
  <c r="AB20" i="1"/>
  <c r="AD20" i="1" s="1"/>
  <c r="AB21" i="1"/>
  <c r="AC21" i="1" s="1"/>
  <c r="AC19" i="1"/>
  <c r="Q19" i="1"/>
  <c r="P19" i="1"/>
  <c r="AF19" i="1" s="1"/>
  <c r="AE19" i="1" s="1"/>
  <c r="P21" i="1"/>
  <c r="AF21" i="1" s="1"/>
  <c r="AE21" i="1" s="1"/>
  <c r="Q82" i="1"/>
  <c r="AF82" i="1"/>
  <c r="AE82" i="1" s="1"/>
  <c r="AB84" i="1"/>
  <c r="Q83" i="1"/>
  <c r="P83" i="1"/>
  <c r="AF83" i="1" s="1"/>
  <c r="AE83" i="1" s="1"/>
  <c r="AF81" i="1"/>
  <c r="AE81" i="1" s="1"/>
  <c r="AB83" i="1"/>
  <c r="AF85" i="1"/>
  <c r="AE85" i="1" s="1"/>
  <c r="AF84" i="1"/>
  <c r="AE84" i="1" s="1"/>
  <c r="L82" i="1"/>
  <c r="AB82" i="1" s="1"/>
  <c r="Q84" i="1"/>
  <c r="AB85" i="1"/>
  <c r="L81" i="1"/>
  <c r="AB81" i="1" s="1"/>
  <c r="AC27" i="1" l="1"/>
  <c r="AG27" i="1" s="1"/>
  <c r="AC71" i="1"/>
  <c r="AG71" i="1" s="1"/>
  <c r="AD69" i="1"/>
  <c r="AD21" i="1"/>
  <c r="AD72" i="1"/>
  <c r="AC72" i="1"/>
  <c r="AG72" i="1" s="1"/>
  <c r="AC66" i="1"/>
  <c r="AG66" i="1" s="1"/>
  <c r="AD66" i="1"/>
  <c r="AG69" i="1"/>
  <c r="AG67" i="1"/>
  <c r="AG70" i="1"/>
  <c r="AD68" i="1"/>
  <c r="AC68" i="1"/>
  <c r="AG68" i="1" s="1"/>
  <c r="AG73" i="1"/>
  <c r="AG74" i="1"/>
  <c r="AG25" i="1"/>
  <c r="AD22" i="1"/>
  <c r="AC22" i="1"/>
  <c r="AG22" i="1" s="1"/>
  <c r="AG24" i="1"/>
  <c r="AD61" i="1"/>
  <c r="AC61" i="1"/>
  <c r="AG61" i="1" s="1"/>
  <c r="AD60" i="1"/>
  <c r="AC60" i="1"/>
  <c r="AG60" i="1" s="1"/>
  <c r="AD64" i="1"/>
  <c r="AC64" i="1"/>
  <c r="AG64" i="1" s="1"/>
  <c r="AD62" i="1"/>
  <c r="AC62" i="1"/>
  <c r="AG62" i="1" s="1"/>
  <c r="AD65" i="1"/>
  <c r="AC65" i="1"/>
  <c r="AG65" i="1" s="1"/>
  <c r="AC63" i="1"/>
  <c r="AG63" i="1" s="1"/>
  <c r="AD63" i="1"/>
  <c r="AD97" i="1"/>
  <c r="AC97" i="1"/>
  <c r="AG97" i="1" s="1"/>
  <c r="AD94" i="1"/>
  <c r="AC94" i="1"/>
  <c r="AG94" i="1" s="1"/>
  <c r="AD93" i="1"/>
  <c r="AC93" i="1"/>
  <c r="AG93" i="1" s="1"/>
  <c r="AD90" i="1"/>
  <c r="AC90" i="1"/>
  <c r="AG90" i="1" s="1"/>
  <c r="AD89" i="1"/>
  <c r="AC89" i="1"/>
  <c r="AG89" i="1" s="1"/>
  <c r="AG87" i="1"/>
  <c r="AG95" i="1"/>
  <c r="AD28" i="1"/>
  <c r="AC28" i="1"/>
  <c r="AG28" i="1" s="1"/>
  <c r="AG26" i="1"/>
  <c r="AD41" i="1"/>
  <c r="AC41" i="1"/>
  <c r="AG41" i="1" s="1"/>
  <c r="AC42" i="1"/>
  <c r="AG42" i="1" s="1"/>
  <c r="AD42" i="1"/>
  <c r="AG43" i="1"/>
  <c r="AC20" i="1"/>
  <c r="AG20" i="1" s="1"/>
  <c r="AG19" i="1"/>
  <c r="AG21" i="1"/>
  <c r="AC81" i="1"/>
  <c r="AG81" i="1" s="1"/>
  <c r="AD81" i="1"/>
  <c r="AC83" i="1"/>
  <c r="AG83" i="1" s="1"/>
  <c r="AD83" i="1"/>
  <c r="AD84" i="1"/>
  <c r="AC84" i="1"/>
  <c r="AG84" i="1" s="1"/>
  <c r="AC85" i="1"/>
  <c r="AG85" i="1" s="1"/>
  <c r="AD85" i="1"/>
  <c r="AD82" i="1"/>
  <c r="AC82" i="1"/>
  <c r="AG82" i="1" s="1"/>
  <c r="X48" i="1" l="1"/>
  <c r="U48" i="1"/>
  <c r="U47" i="1"/>
  <c r="U46" i="1"/>
  <c r="U45" i="1"/>
  <c r="U44" i="1"/>
  <c r="X45" i="1"/>
  <c r="X46" i="1"/>
  <c r="X47" i="1"/>
  <c r="N45" i="1"/>
  <c r="O45" i="1" s="1"/>
  <c r="P45" i="1" s="1"/>
  <c r="K45" i="1"/>
  <c r="L45" i="1" s="1"/>
  <c r="K46" i="1"/>
  <c r="L46" i="1" s="1"/>
  <c r="N46" i="1"/>
  <c r="O46" i="1" s="1"/>
  <c r="P46" i="1" s="1"/>
  <c r="K47" i="1"/>
  <c r="L47" i="1" s="1"/>
  <c r="N47" i="1"/>
  <c r="O47" i="1" s="1"/>
  <c r="K36" i="1"/>
  <c r="C86" i="1"/>
  <c r="K86" i="1"/>
  <c r="L86" i="1" s="1"/>
  <c r="N86" i="1"/>
  <c r="O86" i="1" s="1"/>
  <c r="P86" i="1" s="1"/>
  <c r="U86" i="1"/>
  <c r="X86" i="1"/>
  <c r="T22" i="9"/>
  <c r="AB45" i="1" l="1"/>
  <c r="AC45" i="1" s="1"/>
  <c r="AF45" i="1"/>
  <c r="AE45" i="1" s="1"/>
  <c r="AF46" i="1"/>
  <c r="AE46" i="1" s="1"/>
  <c r="AB47" i="1"/>
  <c r="AC47" i="1" s="1"/>
  <c r="AB46" i="1"/>
  <c r="AC46" i="1" s="1"/>
  <c r="AD45" i="1"/>
  <c r="Q45" i="1"/>
  <c r="P47" i="1"/>
  <c r="AF47" i="1" s="1"/>
  <c r="AE47" i="1" s="1"/>
  <c r="Q47" i="1"/>
  <c r="Q46" i="1"/>
  <c r="AB86" i="1"/>
  <c r="AD86" i="1" s="1"/>
  <c r="AF86" i="1"/>
  <c r="AE86" i="1" s="1"/>
  <c r="Q86" i="1"/>
  <c r="AG45" i="1" l="1"/>
  <c r="AG47" i="1"/>
  <c r="AG46" i="1"/>
  <c r="AD47" i="1"/>
  <c r="AD46" i="1"/>
  <c r="AC86" i="1"/>
  <c r="AG86" i="1" s="1"/>
  <c r="N6" i="9"/>
  <c r="T6" i="9"/>
  <c r="V6" i="9"/>
  <c r="X6" i="9"/>
  <c r="Z6" i="9"/>
  <c r="AB6" i="9"/>
  <c r="AD6" i="9"/>
  <c r="AF6" i="9"/>
  <c r="AH6" i="9"/>
  <c r="AJ6" i="9"/>
  <c r="AL6" i="9"/>
  <c r="T8" i="9"/>
  <c r="V8" i="9"/>
  <c r="X8" i="9"/>
  <c r="Z8" i="9"/>
  <c r="AB8" i="9"/>
  <c r="AD8" i="9"/>
  <c r="AF8" i="9"/>
  <c r="AH8" i="9"/>
  <c r="AJ8" i="9"/>
  <c r="T10" i="9"/>
  <c r="V10" i="9"/>
  <c r="X10" i="9"/>
  <c r="Z10" i="9"/>
  <c r="AB10" i="9"/>
  <c r="AD10" i="9"/>
  <c r="AF10" i="9"/>
  <c r="AH10" i="9"/>
  <c r="AJ10" i="9"/>
  <c r="T12" i="9"/>
  <c r="V12" i="9"/>
  <c r="X12" i="9"/>
  <c r="Z12" i="9"/>
  <c r="AB12" i="9"/>
  <c r="AD12" i="9"/>
  <c r="AF12" i="9"/>
  <c r="AH12" i="9"/>
  <c r="AJ12" i="9"/>
  <c r="N14" i="9"/>
  <c r="T14" i="9"/>
  <c r="V14" i="9"/>
  <c r="X14" i="9"/>
  <c r="Z14" i="9"/>
  <c r="AB14" i="9"/>
  <c r="AD14" i="9"/>
  <c r="AL14" i="9"/>
  <c r="AN14" i="9"/>
  <c r="AP14" i="9"/>
  <c r="T16" i="9"/>
  <c r="V16" i="9"/>
  <c r="X16" i="9"/>
  <c r="Z16" i="9"/>
  <c r="AB16" i="9"/>
  <c r="AD16" i="9"/>
  <c r="AL16" i="9"/>
  <c r="AN16" i="9"/>
  <c r="AP16" i="9"/>
  <c r="T18" i="9"/>
  <c r="V18" i="9"/>
  <c r="X18" i="9"/>
  <c r="Z18" i="9"/>
  <c r="AB18" i="9"/>
  <c r="AD18" i="9"/>
  <c r="AL18" i="9"/>
  <c r="AN18" i="9"/>
  <c r="AP18" i="9"/>
  <c r="T20" i="9"/>
  <c r="V20" i="9"/>
  <c r="X20" i="9"/>
  <c r="Z20" i="9"/>
  <c r="AB20" i="9"/>
  <c r="AD20" i="9"/>
  <c r="AL20" i="9"/>
  <c r="AN20" i="9"/>
  <c r="AP20" i="9"/>
  <c r="V22" i="9"/>
  <c r="X22" i="9"/>
  <c r="Z22" i="9"/>
  <c r="AB22" i="9"/>
  <c r="AD22" i="9"/>
  <c r="AL22" i="9"/>
  <c r="AN22" i="9"/>
  <c r="AP22" i="9"/>
  <c r="T24" i="9"/>
  <c r="V24" i="9"/>
  <c r="X24" i="9"/>
  <c r="Z24" i="9"/>
  <c r="AB24" i="9"/>
  <c r="AD24" i="9"/>
  <c r="AL24" i="9"/>
  <c r="AN24" i="9"/>
  <c r="AP24" i="9"/>
  <c r="T26" i="9"/>
  <c r="V26" i="9"/>
  <c r="X26" i="9"/>
  <c r="Z26" i="9"/>
  <c r="AB26" i="9"/>
  <c r="AD26" i="9"/>
  <c r="AL26" i="9"/>
  <c r="AN26" i="9"/>
  <c r="AP26" i="9"/>
  <c r="T28" i="9"/>
  <c r="V28" i="9"/>
  <c r="X28" i="9"/>
  <c r="Z28" i="9"/>
  <c r="AB28" i="9"/>
  <c r="AD28" i="9"/>
  <c r="AL28" i="9"/>
  <c r="AN28" i="9"/>
  <c r="AP28" i="9"/>
  <c r="N30" i="9"/>
  <c r="Z30" i="9"/>
  <c r="AB30" i="9"/>
  <c r="AD30" i="9"/>
  <c r="AF30" i="9"/>
  <c r="AH30" i="9"/>
  <c r="AJ30" i="9"/>
  <c r="AL30" i="9"/>
  <c r="AN30" i="9"/>
  <c r="AP30" i="9"/>
  <c r="Z32" i="9"/>
  <c r="AB32" i="9"/>
  <c r="AD32" i="9"/>
  <c r="AF32" i="9"/>
  <c r="AH32" i="9"/>
  <c r="AJ32" i="9"/>
  <c r="AL32" i="9"/>
  <c r="AN32" i="9"/>
  <c r="AP32" i="9"/>
  <c r="Z34" i="9"/>
  <c r="AB34" i="9"/>
  <c r="AD34" i="9"/>
  <c r="AF34" i="9"/>
  <c r="AH34" i="9"/>
  <c r="AJ34" i="9"/>
  <c r="AL34" i="9"/>
  <c r="AN34" i="9"/>
  <c r="AP34" i="9"/>
  <c r="Z36" i="9"/>
  <c r="AB36" i="9"/>
  <c r="AD36" i="9"/>
  <c r="AF36" i="9"/>
  <c r="AH36" i="9"/>
  <c r="AJ36" i="9"/>
  <c r="AL36" i="9"/>
  <c r="AN36" i="9"/>
  <c r="AP36" i="9"/>
  <c r="N38" i="9"/>
  <c r="P38" i="9"/>
  <c r="R38" i="9"/>
  <c r="T38" i="9"/>
  <c r="V38" i="9"/>
  <c r="X38" i="9"/>
  <c r="Z38" i="9"/>
  <c r="AB38" i="9"/>
  <c r="AD38" i="9"/>
  <c r="AF38" i="9"/>
  <c r="AH38" i="9"/>
  <c r="AJ38" i="9"/>
  <c r="AL38" i="9"/>
  <c r="AN38" i="9"/>
  <c r="AP38" i="9"/>
  <c r="N40" i="9"/>
  <c r="P40" i="9"/>
  <c r="R40" i="9"/>
  <c r="T40" i="9"/>
  <c r="V40" i="9"/>
  <c r="X40" i="9"/>
  <c r="Z40" i="9"/>
  <c r="AB40" i="9"/>
  <c r="AD40" i="9"/>
  <c r="AF40" i="9"/>
  <c r="AH40" i="9"/>
  <c r="AJ40" i="9"/>
  <c r="AL40" i="9"/>
  <c r="AN40" i="9"/>
  <c r="AP40" i="9"/>
  <c r="N42" i="9"/>
  <c r="P42" i="9"/>
  <c r="R42" i="9"/>
  <c r="T42" i="9"/>
  <c r="V42" i="9"/>
  <c r="X42" i="9"/>
  <c r="Z42" i="9"/>
  <c r="AB42" i="9"/>
  <c r="AD42" i="9"/>
  <c r="AF42" i="9"/>
  <c r="AH42" i="9"/>
  <c r="AJ42" i="9"/>
  <c r="AL42" i="9"/>
  <c r="AN42" i="9"/>
  <c r="AP42" i="9"/>
  <c r="N44" i="9"/>
  <c r="P44" i="9"/>
  <c r="R44" i="9"/>
  <c r="T44" i="9"/>
  <c r="V44" i="9"/>
  <c r="X44" i="9"/>
  <c r="Z44" i="9"/>
  <c r="AB44" i="9"/>
  <c r="AD44" i="9"/>
  <c r="AF44" i="9"/>
  <c r="AH44" i="9"/>
  <c r="AJ44" i="9"/>
  <c r="AL44" i="9"/>
  <c r="AN44" i="9"/>
  <c r="AP44" i="9"/>
  <c r="AI11" i="10"/>
  <c r="AI12" i="10"/>
  <c r="AI13" i="10"/>
  <c r="AI14" i="10"/>
  <c r="AI15" i="10"/>
  <c r="AI16" i="10"/>
  <c r="AI17" i="10"/>
  <c r="AI18" i="10"/>
  <c r="AI19" i="10"/>
  <c r="AI20" i="10"/>
  <c r="AI21" i="10"/>
  <c r="AI22" i="10"/>
  <c r="AI23" i="10"/>
  <c r="AI24" i="10"/>
  <c r="AI25" i="10"/>
  <c r="AI26" i="10"/>
  <c r="AI27" i="10"/>
  <c r="AI28" i="10"/>
  <c r="AI29" i="10"/>
  <c r="AI30" i="10"/>
  <c r="AI31" i="10"/>
  <c r="AI32" i="10"/>
  <c r="AI33" i="10"/>
  <c r="AI34" i="10"/>
  <c r="AI35" i="10"/>
  <c r="AI36" i="10"/>
  <c r="AI37" i="10"/>
  <c r="AI38" i="10"/>
  <c r="AI39" i="10"/>
  <c r="AI40" i="10"/>
  <c r="AI41" i="10"/>
  <c r="AI42" i="10"/>
  <c r="AI43" i="10"/>
  <c r="AI44" i="10"/>
  <c r="AI45" i="10"/>
  <c r="AI46" i="10"/>
  <c r="AI47" i="10"/>
  <c r="AI48" i="10"/>
  <c r="AI49" i="10"/>
  <c r="AI50" i="10"/>
  <c r="AI51" i="10"/>
  <c r="AI52" i="10"/>
  <c r="AI53" i="10"/>
  <c r="AI54" i="10"/>
  <c r="AI55" i="10"/>
  <c r="AM55" i="10"/>
  <c r="AL55" i="10"/>
  <c r="AK55" i="10"/>
  <c r="AJ55" i="10"/>
  <c r="AH55" i="10"/>
  <c r="AG55" i="10"/>
  <c r="AF55" i="10"/>
  <c r="AE55" i="10"/>
  <c r="AD55" i="10"/>
  <c r="AC55" i="10"/>
  <c r="AB55" i="10"/>
  <c r="AA55" i="10"/>
  <c r="Z55" i="10"/>
  <c r="Y55" i="10"/>
  <c r="X55" i="10"/>
  <c r="W55" i="10"/>
  <c r="V55" i="10"/>
  <c r="U55" i="10"/>
  <c r="T55" i="10"/>
  <c r="S55" i="10"/>
  <c r="R55" i="10"/>
  <c r="Q55" i="10"/>
  <c r="P55" i="10"/>
  <c r="O55" i="10"/>
  <c r="N55" i="10"/>
  <c r="M55" i="10"/>
  <c r="L55" i="10"/>
  <c r="K55" i="10"/>
  <c r="J55" i="10"/>
  <c r="AM54" i="10"/>
  <c r="AL54" i="10"/>
  <c r="AK54" i="10"/>
  <c r="AJ54" i="10"/>
  <c r="AH54" i="10"/>
  <c r="AG54" i="10"/>
  <c r="AF54" i="10"/>
  <c r="AE54" i="10"/>
  <c r="AD54" i="10"/>
  <c r="AC54" i="10"/>
  <c r="AB54" i="10"/>
  <c r="AA54" i="10"/>
  <c r="Z54" i="10"/>
  <c r="Y54" i="10"/>
  <c r="X54" i="10"/>
  <c r="W54" i="10"/>
  <c r="V54" i="10"/>
  <c r="U54" i="10"/>
  <c r="T54" i="10"/>
  <c r="S54" i="10"/>
  <c r="R54" i="10"/>
  <c r="Q54" i="10"/>
  <c r="P54" i="10"/>
  <c r="O54" i="10"/>
  <c r="N54" i="10"/>
  <c r="M54" i="10"/>
  <c r="L54" i="10"/>
  <c r="K54" i="10"/>
  <c r="J54" i="10"/>
  <c r="AM53" i="10"/>
  <c r="AL53" i="10"/>
  <c r="AK53" i="10"/>
  <c r="AJ53" i="10"/>
  <c r="AH53" i="10"/>
  <c r="AG53" i="10"/>
  <c r="AF53" i="10"/>
  <c r="AE53" i="10"/>
  <c r="AD53" i="10"/>
  <c r="AC53" i="10"/>
  <c r="AB53" i="10"/>
  <c r="AA53" i="10"/>
  <c r="Z53" i="10"/>
  <c r="Y53" i="10"/>
  <c r="X53" i="10"/>
  <c r="W53" i="10"/>
  <c r="V53" i="10"/>
  <c r="U53" i="10"/>
  <c r="T53" i="10"/>
  <c r="S53" i="10"/>
  <c r="R53" i="10"/>
  <c r="Q53" i="10"/>
  <c r="P53" i="10"/>
  <c r="O53" i="10"/>
  <c r="N53" i="10"/>
  <c r="M53" i="10"/>
  <c r="L53" i="10"/>
  <c r="K53" i="10"/>
  <c r="J53" i="10"/>
  <c r="AM52" i="10"/>
  <c r="AL52" i="10"/>
  <c r="AK52" i="10"/>
  <c r="AJ52" i="10"/>
  <c r="AH52" i="10"/>
  <c r="AG52" i="10"/>
  <c r="AF52" i="10"/>
  <c r="AE52" i="10"/>
  <c r="AD52" i="10"/>
  <c r="AC52" i="10"/>
  <c r="AB52" i="10"/>
  <c r="AA52" i="10"/>
  <c r="Z52" i="10"/>
  <c r="Y52" i="10"/>
  <c r="X52" i="10"/>
  <c r="W52" i="10"/>
  <c r="V52" i="10"/>
  <c r="U52" i="10"/>
  <c r="T52" i="10"/>
  <c r="S52" i="10"/>
  <c r="R52" i="10"/>
  <c r="Q52" i="10"/>
  <c r="P52" i="10"/>
  <c r="O52" i="10"/>
  <c r="N52" i="10"/>
  <c r="M52" i="10"/>
  <c r="L52" i="10"/>
  <c r="K52" i="10"/>
  <c r="J52" i="10"/>
  <c r="AM51" i="10"/>
  <c r="AL51" i="10"/>
  <c r="AK51" i="10"/>
  <c r="AJ51" i="10"/>
  <c r="AH51" i="10"/>
  <c r="AG51" i="10"/>
  <c r="AF51" i="10"/>
  <c r="AE51" i="10"/>
  <c r="AD51" i="10"/>
  <c r="AC51" i="10"/>
  <c r="AB51" i="10"/>
  <c r="AA51" i="10"/>
  <c r="Z51" i="10"/>
  <c r="Y51" i="10"/>
  <c r="X51" i="10"/>
  <c r="W51" i="10"/>
  <c r="V51" i="10"/>
  <c r="U51" i="10"/>
  <c r="T51" i="10"/>
  <c r="S51" i="10"/>
  <c r="R51" i="10"/>
  <c r="Q51" i="10"/>
  <c r="P51" i="10"/>
  <c r="O51" i="10"/>
  <c r="N51" i="10"/>
  <c r="M51" i="10"/>
  <c r="L51" i="10"/>
  <c r="K51" i="10"/>
  <c r="J51" i="10"/>
  <c r="AM50" i="10"/>
  <c r="AL50" i="10"/>
  <c r="AK50" i="10"/>
  <c r="AJ50" i="10"/>
  <c r="AH50" i="10"/>
  <c r="AG50" i="10"/>
  <c r="AF50" i="10"/>
  <c r="AE50" i="10"/>
  <c r="AD50" i="10"/>
  <c r="AC50" i="10"/>
  <c r="AB50" i="10"/>
  <c r="AA50" i="10"/>
  <c r="Z50" i="10"/>
  <c r="Y50" i="10"/>
  <c r="X50" i="10"/>
  <c r="W50" i="10"/>
  <c r="V50" i="10"/>
  <c r="U50" i="10"/>
  <c r="T50" i="10"/>
  <c r="S50" i="10"/>
  <c r="R50" i="10"/>
  <c r="Q50" i="10"/>
  <c r="P50" i="10"/>
  <c r="O50" i="10"/>
  <c r="N50" i="10"/>
  <c r="M50" i="10"/>
  <c r="L50" i="10"/>
  <c r="K50" i="10"/>
  <c r="J50" i="10"/>
  <c r="AM49" i="10"/>
  <c r="AL49" i="10"/>
  <c r="AK49" i="10"/>
  <c r="AJ49" i="10"/>
  <c r="AH49" i="10"/>
  <c r="AG49" i="10"/>
  <c r="AF49" i="10"/>
  <c r="AE49" i="10"/>
  <c r="AD49" i="10"/>
  <c r="AC49" i="10"/>
  <c r="AB49" i="10"/>
  <c r="AA49" i="10"/>
  <c r="Z49" i="10"/>
  <c r="Y49" i="10"/>
  <c r="X49" i="10"/>
  <c r="W49" i="10"/>
  <c r="V49" i="10"/>
  <c r="U49" i="10"/>
  <c r="T49" i="10"/>
  <c r="S49" i="10"/>
  <c r="R49" i="10"/>
  <c r="Q49" i="10"/>
  <c r="P49" i="10"/>
  <c r="O49" i="10"/>
  <c r="N49" i="10"/>
  <c r="M49" i="10"/>
  <c r="L49" i="10"/>
  <c r="K49" i="10"/>
  <c r="J49" i="10"/>
  <c r="AM48" i="10"/>
  <c r="AL48" i="10"/>
  <c r="AK48" i="10"/>
  <c r="AJ48" i="10"/>
  <c r="AH48" i="10"/>
  <c r="AG48" i="10"/>
  <c r="AF48" i="10"/>
  <c r="AE48" i="10"/>
  <c r="AD48" i="10"/>
  <c r="AC48" i="10"/>
  <c r="AB48" i="10"/>
  <c r="AA48" i="10"/>
  <c r="Z48" i="10"/>
  <c r="Y48" i="10"/>
  <c r="X48" i="10"/>
  <c r="W48" i="10"/>
  <c r="V48" i="10"/>
  <c r="U48" i="10"/>
  <c r="T48" i="10"/>
  <c r="S48" i="10"/>
  <c r="R48" i="10"/>
  <c r="Q48" i="10"/>
  <c r="P48" i="10"/>
  <c r="O48" i="10"/>
  <c r="N48" i="10"/>
  <c r="M48" i="10"/>
  <c r="L48" i="10"/>
  <c r="K48" i="10"/>
  <c r="J48" i="10"/>
  <c r="AM47" i="10"/>
  <c r="AL47" i="10"/>
  <c r="AK47" i="10"/>
  <c r="AJ47" i="10"/>
  <c r="AH47" i="10"/>
  <c r="AG47" i="10"/>
  <c r="AF47" i="10"/>
  <c r="AE47" i="10"/>
  <c r="AD47" i="10"/>
  <c r="AC47" i="10"/>
  <c r="AB47" i="10"/>
  <c r="AA47" i="10"/>
  <c r="Z47" i="10"/>
  <c r="Y47" i="10"/>
  <c r="X47" i="10"/>
  <c r="W47" i="10"/>
  <c r="V47" i="10"/>
  <c r="U47" i="10"/>
  <c r="T47" i="10"/>
  <c r="S47" i="10"/>
  <c r="R47" i="10"/>
  <c r="Q47" i="10"/>
  <c r="P47" i="10"/>
  <c r="O47" i="10"/>
  <c r="N47" i="10"/>
  <c r="M47" i="10"/>
  <c r="L47" i="10"/>
  <c r="K47" i="10"/>
  <c r="J47" i="10"/>
  <c r="AM46" i="10"/>
  <c r="AL46" i="10"/>
  <c r="AK46" i="10"/>
  <c r="AJ46" i="10"/>
  <c r="AH46" i="10"/>
  <c r="AG46" i="10"/>
  <c r="AF46" i="10"/>
  <c r="AE46" i="10"/>
  <c r="AD46" i="10"/>
  <c r="AC46" i="10"/>
  <c r="AB46" i="10"/>
  <c r="AA46" i="10"/>
  <c r="Z46" i="10"/>
  <c r="Y46" i="10"/>
  <c r="X46" i="10"/>
  <c r="W46" i="10"/>
  <c r="V46" i="10"/>
  <c r="U46" i="10"/>
  <c r="T46" i="10"/>
  <c r="S46" i="10"/>
  <c r="R46" i="10"/>
  <c r="Q46" i="10"/>
  <c r="P46" i="10"/>
  <c r="O46" i="10"/>
  <c r="N46" i="10"/>
  <c r="M46" i="10"/>
  <c r="L46" i="10"/>
  <c r="K46" i="10"/>
  <c r="J46" i="10"/>
  <c r="AM45" i="10"/>
  <c r="AL45" i="10"/>
  <c r="AK45" i="10"/>
  <c r="AJ45" i="10"/>
  <c r="AH45" i="10"/>
  <c r="AG45" i="10"/>
  <c r="AF45" i="10"/>
  <c r="AE45" i="10"/>
  <c r="AD45" i="10"/>
  <c r="AC45" i="10"/>
  <c r="AB45" i="10"/>
  <c r="AA45" i="10"/>
  <c r="Z45" i="10"/>
  <c r="Y45" i="10"/>
  <c r="X45" i="10"/>
  <c r="W45" i="10"/>
  <c r="V45" i="10"/>
  <c r="U45" i="10"/>
  <c r="T45" i="10"/>
  <c r="S45" i="10"/>
  <c r="R45" i="10"/>
  <c r="Q45" i="10"/>
  <c r="P45" i="10"/>
  <c r="O45" i="10"/>
  <c r="N45" i="10"/>
  <c r="M45" i="10"/>
  <c r="L45" i="10"/>
  <c r="K45" i="10"/>
  <c r="J45" i="10"/>
  <c r="AM44" i="10"/>
  <c r="AL44" i="10"/>
  <c r="AK44" i="10"/>
  <c r="AJ44" i="10"/>
  <c r="AH44" i="10"/>
  <c r="AG44" i="10"/>
  <c r="AF44" i="10"/>
  <c r="AE44" i="10"/>
  <c r="AD44" i="10"/>
  <c r="AC44" i="10"/>
  <c r="AB44" i="10"/>
  <c r="AA44" i="10"/>
  <c r="Z44" i="10"/>
  <c r="Y44" i="10"/>
  <c r="X44" i="10"/>
  <c r="W44" i="10"/>
  <c r="V44" i="10"/>
  <c r="U44" i="10"/>
  <c r="T44" i="10"/>
  <c r="S44" i="10"/>
  <c r="R44" i="10"/>
  <c r="Q44" i="10"/>
  <c r="P44" i="10"/>
  <c r="O44" i="10"/>
  <c r="N44" i="10"/>
  <c r="M44" i="10"/>
  <c r="L44" i="10"/>
  <c r="K44" i="10"/>
  <c r="J44" i="10"/>
  <c r="AM43" i="10"/>
  <c r="AL43" i="10"/>
  <c r="AK43" i="10"/>
  <c r="AJ43" i="10"/>
  <c r="AH43" i="10"/>
  <c r="AG43" i="10"/>
  <c r="AF43" i="10"/>
  <c r="AE43" i="10"/>
  <c r="AD43" i="10"/>
  <c r="AC43" i="10"/>
  <c r="AB43" i="10"/>
  <c r="AA43" i="10"/>
  <c r="Z43" i="10"/>
  <c r="Y43" i="10"/>
  <c r="X43" i="10"/>
  <c r="W43" i="10"/>
  <c r="V43" i="10"/>
  <c r="U43" i="10"/>
  <c r="T43" i="10"/>
  <c r="S43" i="10"/>
  <c r="R43" i="10"/>
  <c r="Q43" i="10"/>
  <c r="P43" i="10"/>
  <c r="O43" i="10"/>
  <c r="N43" i="10"/>
  <c r="M43" i="10"/>
  <c r="L43" i="10"/>
  <c r="K43" i="10"/>
  <c r="J43" i="10"/>
  <c r="AM42" i="10"/>
  <c r="AL42" i="10"/>
  <c r="AK42" i="10"/>
  <c r="AJ42" i="10"/>
  <c r="AH42" i="10"/>
  <c r="AG42" i="10"/>
  <c r="AF42" i="10"/>
  <c r="AE42" i="10"/>
  <c r="AD42" i="10"/>
  <c r="AC42" i="10"/>
  <c r="AB42" i="10"/>
  <c r="AA42" i="10"/>
  <c r="Z42" i="10"/>
  <c r="Y42" i="10"/>
  <c r="X42" i="10"/>
  <c r="W42" i="10"/>
  <c r="V42" i="10"/>
  <c r="U42" i="10"/>
  <c r="T42" i="10"/>
  <c r="S42" i="10"/>
  <c r="R42" i="10"/>
  <c r="Q42" i="10"/>
  <c r="P42" i="10"/>
  <c r="O42" i="10"/>
  <c r="N42" i="10"/>
  <c r="M42" i="10"/>
  <c r="L42" i="10"/>
  <c r="K42" i="10"/>
  <c r="J42" i="10"/>
  <c r="AM41" i="10"/>
  <c r="AL41" i="10"/>
  <c r="AK41" i="10"/>
  <c r="AJ41" i="10"/>
  <c r="AH41" i="10"/>
  <c r="AG41" i="10"/>
  <c r="AF41" i="10"/>
  <c r="AE41" i="10"/>
  <c r="AD41" i="10"/>
  <c r="AC41" i="10"/>
  <c r="AB41" i="10"/>
  <c r="AA41" i="10"/>
  <c r="Z41" i="10"/>
  <c r="Y41" i="10"/>
  <c r="X41" i="10"/>
  <c r="W41" i="10"/>
  <c r="V41" i="10"/>
  <c r="U41" i="10"/>
  <c r="T41" i="10"/>
  <c r="S41" i="10"/>
  <c r="R41" i="10"/>
  <c r="Q41" i="10"/>
  <c r="P41" i="10"/>
  <c r="O41" i="10"/>
  <c r="N41" i="10"/>
  <c r="M41" i="10"/>
  <c r="L41" i="10"/>
  <c r="K41" i="10"/>
  <c r="J41" i="10"/>
  <c r="AM40" i="10"/>
  <c r="AL40" i="10"/>
  <c r="AK40" i="10"/>
  <c r="AJ40" i="10"/>
  <c r="AH40" i="10"/>
  <c r="AG40" i="10"/>
  <c r="AF40" i="10"/>
  <c r="AE40" i="10"/>
  <c r="AD40" i="10"/>
  <c r="AC40" i="10"/>
  <c r="AB40" i="10"/>
  <c r="AA40" i="10"/>
  <c r="Z40" i="10"/>
  <c r="Y40" i="10"/>
  <c r="X40" i="10"/>
  <c r="W40" i="10"/>
  <c r="V40" i="10"/>
  <c r="U40" i="10"/>
  <c r="T40" i="10"/>
  <c r="S40" i="10"/>
  <c r="R40" i="10"/>
  <c r="Q40" i="10"/>
  <c r="P40" i="10"/>
  <c r="O40" i="10"/>
  <c r="N40" i="10"/>
  <c r="M40" i="10"/>
  <c r="L40" i="10"/>
  <c r="K40" i="10"/>
  <c r="J40" i="10"/>
  <c r="AM39" i="10"/>
  <c r="AL39" i="10"/>
  <c r="AK39" i="10"/>
  <c r="AJ39" i="10"/>
  <c r="AH39" i="10"/>
  <c r="AG39" i="10"/>
  <c r="AF39" i="10"/>
  <c r="AE39" i="10"/>
  <c r="AD39" i="10"/>
  <c r="AC39" i="10"/>
  <c r="AB39" i="10"/>
  <c r="AA39" i="10"/>
  <c r="Z39" i="10"/>
  <c r="Y39" i="10"/>
  <c r="X39" i="10"/>
  <c r="W39" i="10"/>
  <c r="V39" i="10"/>
  <c r="U39" i="10"/>
  <c r="T39" i="10"/>
  <c r="S39" i="10"/>
  <c r="R39" i="10"/>
  <c r="Q39" i="10"/>
  <c r="P39" i="10"/>
  <c r="O39" i="10"/>
  <c r="N39" i="10"/>
  <c r="M39" i="10"/>
  <c r="L39" i="10"/>
  <c r="K39" i="10"/>
  <c r="J39" i="10"/>
  <c r="AM38" i="10"/>
  <c r="AL38" i="10"/>
  <c r="AK38" i="10"/>
  <c r="AJ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AM37" i="10"/>
  <c r="AL37" i="10"/>
  <c r="AK37" i="10"/>
  <c r="AJ37" i="10"/>
  <c r="AH37" i="10"/>
  <c r="AG37" i="10"/>
  <c r="AF37" i="10"/>
  <c r="AE37" i="10"/>
  <c r="AD37" i="10"/>
  <c r="AC37" i="10"/>
  <c r="AB37" i="10"/>
  <c r="AA37" i="10"/>
  <c r="Z37" i="10"/>
  <c r="Y37" i="10"/>
  <c r="X37" i="10"/>
  <c r="W37" i="10"/>
  <c r="V37" i="10"/>
  <c r="U37" i="10"/>
  <c r="T37" i="10"/>
  <c r="S37" i="10"/>
  <c r="R37" i="10"/>
  <c r="Q37" i="10"/>
  <c r="P37" i="10"/>
  <c r="O37" i="10"/>
  <c r="N37" i="10"/>
  <c r="M37" i="10"/>
  <c r="L37" i="10"/>
  <c r="K37" i="10"/>
  <c r="J37" i="10"/>
  <c r="AM36" i="10"/>
  <c r="AL36" i="10"/>
  <c r="AK36" i="10"/>
  <c r="AJ36" i="10"/>
  <c r="AH36" i="10"/>
  <c r="AG36" i="10"/>
  <c r="AF36" i="10"/>
  <c r="AE36" i="10"/>
  <c r="AD36" i="10"/>
  <c r="AC36" i="10"/>
  <c r="AB36" i="10"/>
  <c r="AA36" i="10"/>
  <c r="Z36" i="10"/>
  <c r="Y36" i="10"/>
  <c r="X36" i="10"/>
  <c r="W36" i="10"/>
  <c r="V36" i="10"/>
  <c r="U36" i="10"/>
  <c r="T36" i="10"/>
  <c r="S36" i="10"/>
  <c r="R36" i="10"/>
  <c r="Q36" i="10"/>
  <c r="P36" i="10"/>
  <c r="O36" i="10"/>
  <c r="N36" i="10"/>
  <c r="M36" i="10"/>
  <c r="L36" i="10"/>
  <c r="K36" i="10"/>
  <c r="J36" i="10"/>
  <c r="AM35" i="10"/>
  <c r="AL35" i="10"/>
  <c r="AK35" i="10"/>
  <c r="AJ35" i="10"/>
  <c r="AH35" i="10"/>
  <c r="AG35" i="10"/>
  <c r="AF35" i="10"/>
  <c r="AE35" i="10"/>
  <c r="AD35" i="10"/>
  <c r="AC35" i="10"/>
  <c r="AB35" i="10"/>
  <c r="AA35" i="10"/>
  <c r="Z35" i="10"/>
  <c r="Y35" i="10"/>
  <c r="X35" i="10"/>
  <c r="W35" i="10"/>
  <c r="V35" i="10"/>
  <c r="U35" i="10"/>
  <c r="T35" i="10"/>
  <c r="S35" i="10"/>
  <c r="R35" i="10"/>
  <c r="Q35" i="10"/>
  <c r="P35" i="10"/>
  <c r="O35" i="10"/>
  <c r="N35" i="10"/>
  <c r="M35" i="10"/>
  <c r="L35" i="10"/>
  <c r="K35" i="10"/>
  <c r="J35" i="10"/>
  <c r="AM34" i="10"/>
  <c r="AL34" i="10"/>
  <c r="AK34" i="10"/>
  <c r="AJ34" i="10"/>
  <c r="AH34" i="10"/>
  <c r="AG34" i="10"/>
  <c r="AF34" i="10"/>
  <c r="AE34" i="10"/>
  <c r="AD34" i="10"/>
  <c r="AC34" i="10"/>
  <c r="AB34" i="10"/>
  <c r="AA34" i="10"/>
  <c r="Z34" i="10"/>
  <c r="Y34" i="10"/>
  <c r="X34" i="10"/>
  <c r="W34" i="10"/>
  <c r="V34" i="10"/>
  <c r="U34" i="10"/>
  <c r="T34" i="10"/>
  <c r="S34" i="10"/>
  <c r="R34" i="10"/>
  <c r="Q34" i="10"/>
  <c r="P34" i="10"/>
  <c r="O34" i="10"/>
  <c r="N34" i="10"/>
  <c r="M34" i="10"/>
  <c r="L34" i="10"/>
  <c r="K34" i="10"/>
  <c r="J34" i="10"/>
  <c r="AM33" i="10"/>
  <c r="AL33" i="10"/>
  <c r="AK33" i="10"/>
  <c r="AJ33" i="10"/>
  <c r="AH33" i="10"/>
  <c r="AG33" i="10"/>
  <c r="AF33" i="10"/>
  <c r="AE33" i="10"/>
  <c r="AD33" i="10"/>
  <c r="AC33" i="10"/>
  <c r="AB33" i="10"/>
  <c r="AA33" i="10"/>
  <c r="Z33" i="10"/>
  <c r="Y33" i="10"/>
  <c r="X33" i="10"/>
  <c r="W33" i="10"/>
  <c r="V33" i="10"/>
  <c r="U33" i="10"/>
  <c r="T33" i="10"/>
  <c r="S33" i="10"/>
  <c r="R33" i="10"/>
  <c r="Q33" i="10"/>
  <c r="P33" i="10"/>
  <c r="O33" i="10"/>
  <c r="N33" i="10"/>
  <c r="M33" i="10"/>
  <c r="L33" i="10"/>
  <c r="K33" i="10"/>
  <c r="J33" i="10"/>
  <c r="AM32" i="10"/>
  <c r="AL32" i="10"/>
  <c r="AK32" i="10"/>
  <c r="AJ32" i="10"/>
  <c r="AH32" i="10"/>
  <c r="AG32" i="10"/>
  <c r="AF32" i="10"/>
  <c r="AE32" i="10"/>
  <c r="AD32" i="10"/>
  <c r="AC32" i="10"/>
  <c r="AB32" i="10"/>
  <c r="AA32" i="10"/>
  <c r="Z32" i="10"/>
  <c r="Y32" i="10"/>
  <c r="X32" i="10"/>
  <c r="W32" i="10"/>
  <c r="V32" i="10"/>
  <c r="U32" i="10"/>
  <c r="T32" i="10"/>
  <c r="S32" i="10"/>
  <c r="R32" i="10"/>
  <c r="Q32" i="10"/>
  <c r="P32" i="10"/>
  <c r="O32" i="10"/>
  <c r="N32" i="10"/>
  <c r="M32" i="10"/>
  <c r="L32" i="10"/>
  <c r="K32" i="10"/>
  <c r="J32" i="10"/>
  <c r="AM31" i="10"/>
  <c r="AL31" i="10"/>
  <c r="AK31" i="10"/>
  <c r="AJ31" i="10"/>
  <c r="AH31" i="10"/>
  <c r="AG31" i="10"/>
  <c r="AF31" i="10"/>
  <c r="AE31" i="10"/>
  <c r="AD31" i="10"/>
  <c r="AC31" i="10"/>
  <c r="AB31" i="10"/>
  <c r="AA31" i="10"/>
  <c r="Z31" i="10"/>
  <c r="Y31" i="10"/>
  <c r="X31" i="10"/>
  <c r="W31" i="10"/>
  <c r="V31" i="10"/>
  <c r="U31" i="10"/>
  <c r="T31" i="10"/>
  <c r="S31" i="10"/>
  <c r="R31" i="10"/>
  <c r="Q31" i="10"/>
  <c r="P31" i="10"/>
  <c r="O31" i="10"/>
  <c r="N31" i="10"/>
  <c r="M31" i="10"/>
  <c r="L31" i="10"/>
  <c r="K31" i="10"/>
  <c r="J31" i="10"/>
  <c r="AM30" i="10"/>
  <c r="AL30" i="10"/>
  <c r="AK30" i="10"/>
  <c r="AJ30" i="10"/>
  <c r="AH30" i="10"/>
  <c r="AG30" i="10"/>
  <c r="AF30" i="10"/>
  <c r="AE30" i="10"/>
  <c r="AD30" i="10"/>
  <c r="AC30" i="10"/>
  <c r="AB30" i="10"/>
  <c r="AA30" i="10"/>
  <c r="Z30" i="10"/>
  <c r="Y30" i="10"/>
  <c r="X30" i="10"/>
  <c r="W30" i="10"/>
  <c r="V30" i="10"/>
  <c r="U30" i="10"/>
  <c r="T30" i="10"/>
  <c r="S30" i="10"/>
  <c r="R30" i="10"/>
  <c r="Q30" i="10"/>
  <c r="P30" i="10"/>
  <c r="O30" i="10"/>
  <c r="N30" i="10"/>
  <c r="M30" i="10"/>
  <c r="L30" i="10"/>
  <c r="K30" i="10"/>
  <c r="J30" i="10"/>
  <c r="AM29" i="10"/>
  <c r="AL29" i="10"/>
  <c r="AK29" i="10"/>
  <c r="AJ29" i="10"/>
  <c r="AH29" i="10"/>
  <c r="AG29" i="10"/>
  <c r="AF29" i="10"/>
  <c r="AE29" i="10"/>
  <c r="AD29" i="10"/>
  <c r="AC29" i="10"/>
  <c r="AB29" i="10"/>
  <c r="AA29" i="10"/>
  <c r="Z29" i="10"/>
  <c r="Y29" i="10"/>
  <c r="X29" i="10"/>
  <c r="W29" i="10"/>
  <c r="V29" i="10"/>
  <c r="U29" i="10"/>
  <c r="T29" i="10"/>
  <c r="S29" i="10"/>
  <c r="R29" i="10"/>
  <c r="Q29" i="10"/>
  <c r="P29" i="10"/>
  <c r="O29" i="10"/>
  <c r="N29" i="10"/>
  <c r="M29" i="10"/>
  <c r="L29" i="10"/>
  <c r="K29" i="10"/>
  <c r="J29" i="10"/>
  <c r="AM28" i="10"/>
  <c r="AL28" i="10"/>
  <c r="AK28" i="10"/>
  <c r="AJ28" i="10"/>
  <c r="AH28" i="10"/>
  <c r="AG28" i="10"/>
  <c r="AF28" i="10"/>
  <c r="AE28" i="10"/>
  <c r="AD28" i="10"/>
  <c r="AC28" i="10"/>
  <c r="AB28" i="10"/>
  <c r="AA28" i="10"/>
  <c r="Z28" i="10"/>
  <c r="Y28" i="10"/>
  <c r="X28" i="10"/>
  <c r="W28" i="10"/>
  <c r="V28" i="10"/>
  <c r="U28" i="10"/>
  <c r="T28" i="10"/>
  <c r="S28" i="10"/>
  <c r="R28" i="10"/>
  <c r="Q28" i="10"/>
  <c r="P28" i="10"/>
  <c r="O28" i="10"/>
  <c r="N28" i="10"/>
  <c r="M28" i="10"/>
  <c r="L28" i="10"/>
  <c r="K28" i="10"/>
  <c r="J28" i="10"/>
  <c r="AM27" i="10"/>
  <c r="AL27" i="10"/>
  <c r="AK27" i="10"/>
  <c r="AJ27" i="10"/>
  <c r="AH27" i="10"/>
  <c r="AG27" i="10"/>
  <c r="AF27" i="10"/>
  <c r="AE27" i="10"/>
  <c r="AD27" i="10"/>
  <c r="AC27" i="10"/>
  <c r="AB27" i="10"/>
  <c r="AA27" i="10"/>
  <c r="Z27" i="10"/>
  <c r="Y27" i="10"/>
  <c r="X27" i="10"/>
  <c r="W27" i="10"/>
  <c r="V27" i="10"/>
  <c r="U27" i="10"/>
  <c r="T27" i="10"/>
  <c r="S27" i="10"/>
  <c r="R27" i="10"/>
  <c r="Q27" i="10"/>
  <c r="P27" i="10"/>
  <c r="O27" i="10"/>
  <c r="N27" i="10"/>
  <c r="M27" i="10"/>
  <c r="L27" i="10"/>
  <c r="K27" i="10"/>
  <c r="J27" i="10"/>
  <c r="AM26" i="10"/>
  <c r="AL26" i="10"/>
  <c r="AK26" i="10"/>
  <c r="AJ26" i="10"/>
  <c r="AH26" i="10"/>
  <c r="AG26" i="10"/>
  <c r="AF26" i="10"/>
  <c r="AE26" i="10"/>
  <c r="AD26" i="10"/>
  <c r="AC26" i="10"/>
  <c r="AB26" i="10"/>
  <c r="AA26" i="10"/>
  <c r="Z26" i="10"/>
  <c r="Y26" i="10"/>
  <c r="X26" i="10"/>
  <c r="W26" i="10"/>
  <c r="V26" i="10"/>
  <c r="U26" i="10"/>
  <c r="T26" i="10"/>
  <c r="S26" i="10"/>
  <c r="R26" i="10"/>
  <c r="Q26" i="10"/>
  <c r="P26" i="10"/>
  <c r="O26" i="10"/>
  <c r="N26" i="10"/>
  <c r="M26" i="10"/>
  <c r="L26" i="10"/>
  <c r="K26" i="10"/>
  <c r="J26" i="10"/>
  <c r="AM25" i="10"/>
  <c r="AL25" i="10"/>
  <c r="AK25" i="10"/>
  <c r="AJ25" i="10"/>
  <c r="AH25" i="10"/>
  <c r="AG25" i="10"/>
  <c r="AF25" i="10"/>
  <c r="AE25" i="10"/>
  <c r="AD25" i="10"/>
  <c r="AC25" i="10"/>
  <c r="AB25" i="10"/>
  <c r="AA25" i="10"/>
  <c r="Z25" i="10"/>
  <c r="Y25" i="10"/>
  <c r="X25" i="10"/>
  <c r="W25" i="10"/>
  <c r="V25" i="10"/>
  <c r="U25" i="10"/>
  <c r="T25" i="10"/>
  <c r="S25" i="10"/>
  <c r="R25" i="10"/>
  <c r="Q25" i="10"/>
  <c r="P25" i="10"/>
  <c r="O25" i="10"/>
  <c r="N25" i="10"/>
  <c r="M25" i="10"/>
  <c r="L25" i="10"/>
  <c r="K25" i="10"/>
  <c r="J25" i="10"/>
  <c r="AM24" i="10"/>
  <c r="AL24" i="10"/>
  <c r="AK24" i="10"/>
  <c r="AJ24" i="10"/>
  <c r="AH24" i="10"/>
  <c r="AG24" i="10"/>
  <c r="AF24" i="10"/>
  <c r="AE24" i="10"/>
  <c r="AD24" i="10"/>
  <c r="AC24" i="10"/>
  <c r="AB24" i="10"/>
  <c r="AA24" i="10"/>
  <c r="Z24" i="10"/>
  <c r="Y24" i="10"/>
  <c r="X24" i="10"/>
  <c r="W24" i="10"/>
  <c r="V24" i="10"/>
  <c r="U24" i="10"/>
  <c r="T24" i="10"/>
  <c r="S24" i="10"/>
  <c r="R24" i="10"/>
  <c r="Q24" i="10"/>
  <c r="P24" i="10"/>
  <c r="O24" i="10"/>
  <c r="N24" i="10"/>
  <c r="M24" i="10"/>
  <c r="L24" i="10"/>
  <c r="K24" i="10"/>
  <c r="J24" i="10"/>
  <c r="AM23" i="10"/>
  <c r="AL23" i="10"/>
  <c r="AK23" i="10"/>
  <c r="AJ23" i="10"/>
  <c r="AH23" i="10"/>
  <c r="AG23" i="10"/>
  <c r="AF23" i="10"/>
  <c r="AE23" i="10"/>
  <c r="AD23" i="10"/>
  <c r="AC23" i="10"/>
  <c r="AB23" i="10"/>
  <c r="AA23" i="10"/>
  <c r="Z23" i="10"/>
  <c r="Y23" i="10"/>
  <c r="X23" i="10"/>
  <c r="W23" i="10"/>
  <c r="V23" i="10"/>
  <c r="U23" i="10"/>
  <c r="T23" i="10"/>
  <c r="S23" i="10"/>
  <c r="R23" i="10"/>
  <c r="Q23" i="10"/>
  <c r="P23" i="10"/>
  <c r="O23" i="10"/>
  <c r="N23" i="10"/>
  <c r="M23" i="10"/>
  <c r="L23" i="10"/>
  <c r="K23" i="10"/>
  <c r="J23" i="10"/>
  <c r="AM22" i="10"/>
  <c r="AL22" i="10"/>
  <c r="AK22" i="10"/>
  <c r="AJ22" i="10"/>
  <c r="AH22" i="10"/>
  <c r="AG22" i="10"/>
  <c r="AF22" i="10"/>
  <c r="AE22" i="10"/>
  <c r="AD22" i="10"/>
  <c r="AC22" i="10"/>
  <c r="AB22" i="10"/>
  <c r="AA22" i="10"/>
  <c r="Z22" i="10"/>
  <c r="Y22" i="10"/>
  <c r="X22" i="10"/>
  <c r="W22" i="10"/>
  <c r="V22" i="10"/>
  <c r="U22" i="10"/>
  <c r="T22" i="10"/>
  <c r="S22" i="10"/>
  <c r="R22" i="10"/>
  <c r="Q22" i="10"/>
  <c r="P22" i="10"/>
  <c r="O22" i="10"/>
  <c r="N22" i="10"/>
  <c r="M22" i="10"/>
  <c r="L22" i="10"/>
  <c r="K22" i="10"/>
  <c r="J22" i="10"/>
  <c r="AM21" i="10"/>
  <c r="AL21" i="10"/>
  <c r="AK21" i="10"/>
  <c r="AJ21" i="10"/>
  <c r="AH21" i="10"/>
  <c r="AG21" i="10"/>
  <c r="AF21" i="10"/>
  <c r="AE21" i="10"/>
  <c r="AD21" i="10"/>
  <c r="AC21" i="10"/>
  <c r="AB21" i="10"/>
  <c r="AA21" i="10"/>
  <c r="Z21" i="10"/>
  <c r="Y21" i="10"/>
  <c r="X21" i="10"/>
  <c r="W21" i="10"/>
  <c r="V21" i="10"/>
  <c r="U21" i="10"/>
  <c r="T21" i="10"/>
  <c r="S21" i="10"/>
  <c r="R21" i="10"/>
  <c r="Q21" i="10"/>
  <c r="P21" i="10"/>
  <c r="O21" i="10"/>
  <c r="N21" i="10"/>
  <c r="M21" i="10"/>
  <c r="L21" i="10"/>
  <c r="K21" i="10"/>
  <c r="J21" i="10"/>
  <c r="AM20" i="10"/>
  <c r="AL20" i="10"/>
  <c r="AK20" i="10"/>
  <c r="AJ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AM19" i="10"/>
  <c r="AL19" i="10"/>
  <c r="AK19" i="10"/>
  <c r="AJ19" i="10"/>
  <c r="AH19" i="10"/>
  <c r="AG19" i="10"/>
  <c r="AF19" i="10"/>
  <c r="AE19" i="10"/>
  <c r="AD19" i="10"/>
  <c r="AC19" i="10"/>
  <c r="AB19" i="10"/>
  <c r="AA19" i="10"/>
  <c r="Z19" i="10"/>
  <c r="Y19" i="10"/>
  <c r="X19" i="10"/>
  <c r="W19" i="10"/>
  <c r="V19" i="10"/>
  <c r="U19" i="10"/>
  <c r="T19" i="10"/>
  <c r="S19" i="10"/>
  <c r="R19" i="10"/>
  <c r="Q19" i="10"/>
  <c r="P19" i="10"/>
  <c r="O19" i="10"/>
  <c r="N19" i="10"/>
  <c r="M19" i="10"/>
  <c r="L19" i="10"/>
  <c r="K19" i="10"/>
  <c r="J19" i="10"/>
  <c r="AM18" i="10"/>
  <c r="AL18" i="10"/>
  <c r="AK18" i="10"/>
  <c r="AJ18" i="10"/>
  <c r="AH18" i="10"/>
  <c r="AG18" i="10"/>
  <c r="AF18" i="10"/>
  <c r="AE18" i="10"/>
  <c r="AD18" i="10"/>
  <c r="AC18" i="10"/>
  <c r="AB18" i="10"/>
  <c r="AA18" i="10"/>
  <c r="Z18" i="10"/>
  <c r="Y18" i="10"/>
  <c r="X18" i="10"/>
  <c r="W18" i="10"/>
  <c r="V18" i="10"/>
  <c r="U18" i="10"/>
  <c r="T18" i="10"/>
  <c r="S18" i="10"/>
  <c r="R18" i="10"/>
  <c r="Q18" i="10"/>
  <c r="P18" i="10"/>
  <c r="O18" i="10"/>
  <c r="N18" i="10"/>
  <c r="M18" i="10"/>
  <c r="L18" i="10"/>
  <c r="K18" i="10"/>
  <c r="J18" i="10"/>
  <c r="AM17" i="10"/>
  <c r="AL17" i="10"/>
  <c r="AK17" i="10"/>
  <c r="AJ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AM16" i="10"/>
  <c r="AL16" i="10"/>
  <c r="AK16" i="10"/>
  <c r="AJ16" i="10"/>
  <c r="AH16" i="10"/>
  <c r="AG16" i="10"/>
  <c r="AF16" i="10"/>
  <c r="AE16" i="10"/>
  <c r="AD16" i="10"/>
  <c r="AC16" i="10"/>
  <c r="AB16" i="10"/>
  <c r="AA16" i="10"/>
  <c r="Z16" i="10"/>
  <c r="Y16" i="10"/>
  <c r="X16" i="10"/>
  <c r="W16" i="10"/>
  <c r="V16" i="10"/>
  <c r="U16" i="10"/>
  <c r="T16" i="10"/>
  <c r="S16" i="10"/>
  <c r="R16" i="10"/>
  <c r="Q16" i="10"/>
  <c r="P16" i="10"/>
  <c r="O16" i="10"/>
  <c r="N16" i="10"/>
  <c r="M16" i="10"/>
  <c r="L16" i="10"/>
  <c r="K16" i="10"/>
  <c r="J16" i="10"/>
  <c r="AM15" i="10"/>
  <c r="AL15" i="10"/>
  <c r="AK15" i="10"/>
  <c r="AJ15" i="10"/>
  <c r="AH15" i="10"/>
  <c r="AG15" i="10"/>
  <c r="AF15" i="10"/>
  <c r="AE15" i="10"/>
  <c r="AD15" i="10"/>
  <c r="AC15" i="10"/>
  <c r="AB15" i="10"/>
  <c r="AA15" i="10"/>
  <c r="Z15" i="10"/>
  <c r="Y15" i="10"/>
  <c r="X15" i="10"/>
  <c r="W15" i="10"/>
  <c r="V15" i="10"/>
  <c r="U15" i="10"/>
  <c r="T15" i="10"/>
  <c r="S15" i="10"/>
  <c r="R15" i="10"/>
  <c r="Q15" i="10"/>
  <c r="P15" i="10"/>
  <c r="O15" i="10"/>
  <c r="N15" i="10"/>
  <c r="M15" i="10"/>
  <c r="L15" i="10"/>
  <c r="K15" i="10"/>
  <c r="J15" i="10"/>
  <c r="AM14" i="10"/>
  <c r="AL14" i="10"/>
  <c r="AK14" i="10"/>
  <c r="AJ14" i="10"/>
  <c r="AH14" i="10"/>
  <c r="AG14" i="10"/>
  <c r="AF14" i="10"/>
  <c r="AE14" i="10"/>
  <c r="AD14" i="10"/>
  <c r="AC14" i="10"/>
  <c r="AB14" i="10"/>
  <c r="AA14" i="10"/>
  <c r="Z14" i="10"/>
  <c r="Y14" i="10"/>
  <c r="X14" i="10"/>
  <c r="W14" i="10"/>
  <c r="V14" i="10"/>
  <c r="U14" i="10"/>
  <c r="T14" i="10"/>
  <c r="S14" i="10"/>
  <c r="R14" i="10"/>
  <c r="Q14" i="10"/>
  <c r="P14" i="10"/>
  <c r="O14" i="10"/>
  <c r="N14" i="10"/>
  <c r="M14" i="10"/>
  <c r="L14" i="10"/>
  <c r="K14" i="10"/>
  <c r="J14" i="10"/>
  <c r="AM13" i="10"/>
  <c r="AL13" i="10"/>
  <c r="AK13" i="10"/>
  <c r="AJ13" i="10"/>
  <c r="AH13" i="10"/>
  <c r="AG13" i="10"/>
  <c r="AF13" i="10"/>
  <c r="AE13" i="10"/>
  <c r="AD13" i="10"/>
  <c r="AC13" i="10"/>
  <c r="AB13" i="10"/>
  <c r="AA13" i="10"/>
  <c r="Z13" i="10"/>
  <c r="Y13" i="10"/>
  <c r="X13" i="10"/>
  <c r="W13" i="10"/>
  <c r="V13" i="10"/>
  <c r="U13" i="10"/>
  <c r="T13" i="10"/>
  <c r="S13" i="10"/>
  <c r="R13" i="10"/>
  <c r="Q13" i="10"/>
  <c r="P13" i="10"/>
  <c r="O13" i="10"/>
  <c r="N13" i="10"/>
  <c r="M13" i="10"/>
  <c r="L13" i="10"/>
  <c r="K13" i="10"/>
  <c r="J13" i="10"/>
  <c r="AM12" i="10"/>
  <c r="AL12" i="10"/>
  <c r="AK12" i="10"/>
  <c r="AJ12" i="10"/>
  <c r="AH12" i="10"/>
  <c r="AG12" i="10"/>
  <c r="AF12" i="10"/>
  <c r="AE12" i="10"/>
  <c r="AD12" i="10"/>
  <c r="AC12" i="10"/>
  <c r="AB12" i="10"/>
  <c r="AA12" i="10"/>
  <c r="Z12" i="10"/>
  <c r="Y12" i="10"/>
  <c r="X12" i="10"/>
  <c r="W12" i="10"/>
  <c r="V12" i="10"/>
  <c r="U12" i="10"/>
  <c r="T12" i="10"/>
  <c r="S12" i="10"/>
  <c r="R12" i="10"/>
  <c r="Q12" i="10"/>
  <c r="P12" i="10"/>
  <c r="O12" i="10"/>
  <c r="N12" i="10"/>
  <c r="M12" i="10"/>
  <c r="L12" i="10"/>
  <c r="K12" i="10"/>
  <c r="J12" i="10"/>
  <c r="AM11" i="10"/>
  <c r="AL11" i="10"/>
  <c r="AK11" i="10"/>
  <c r="AJ11" i="10"/>
  <c r="AH11" i="10"/>
  <c r="AG11" i="10"/>
  <c r="AF11" i="10"/>
  <c r="AE11" i="10"/>
  <c r="AD11" i="10"/>
  <c r="AC11" i="10"/>
  <c r="AB11" i="10"/>
  <c r="AA11" i="10"/>
  <c r="Z11" i="10"/>
  <c r="Y11" i="10"/>
  <c r="X11" i="10"/>
  <c r="W11" i="10"/>
  <c r="V11" i="10"/>
  <c r="U11" i="10"/>
  <c r="T11" i="10"/>
  <c r="S11" i="10"/>
  <c r="R11" i="10"/>
  <c r="Q11" i="10"/>
  <c r="P11" i="10"/>
  <c r="O11" i="10"/>
  <c r="N11" i="10"/>
  <c r="M11" i="10"/>
  <c r="L11" i="10"/>
  <c r="K11" i="10"/>
  <c r="J11"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O10" i="10"/>
  <c r="N10" i="10"/>
  <c r="M10" i="10"/>
  <c r="L10" i="10"/>
  <c r="K10" i="10"/>
  <c r="J10" i="10"/>
  <c r="AM9" i="10"/>
  <c r="AL9" i="10"/>
  <c r="AK9" i="10"/>
  <c r="AJ9" i="10"/>
  <c r="AI9" i="10"/>
  <c r="AH9" i="10"/>
  <c r="AG9" i="10"/>
  <c r="AF9" i="10"/>
  <c r="AE9" i="10"/>
  <c r="AD9" i="10"/>
  <c r="AC9" i="10"/>
  <c r="AB9" i="10"/>
  <c r="AA9" i="10"/>
  <c r="Z9" i="10"/>
  <c r="Y9" i="10"/>
  <c r="X9" i="10"/>
  <c r="W9" i="10"/>
  <c r="V9" i="10"/>
  <c r="U9" i="10"/>
  <c r="T9" i="10"/>
  <c r="S9" i="10"/>
  <c r="R9" i="10"/>
  <c r="Q9" i="10"/>
  <c r="P9" i="10"/>
  <c r="O9" i="10"/>
  <c r="N9" i="10"/>
  <c r="M9" i="10"/>
  <c r="L9" i="10"/>
  <c r="K9" i="10"/>
  <c r="J9" i="10"/>
  <c r="AM8" i="10"/>
  <c r="AL8" i="10"/>
  <c r="AK8" i="10"/>
  <c r="AJ8" i="10"/>
  <c r="AI8" i="10"/>
  <c r="AH8" i="10"/>
  <c r="AG8" i="10"/>
  <c r="AF8" i="10"/>
  <c r="AE8" i="10"/>
  <c r="AD8" i="10"/>
  <c r="AC8" i="10"/>
  <c r="AB8" i="10"/>
  <c r="AA8" i="10"/>
  <c r="Z8" i="10"/>
  <c r="Y8" i="10"/>
  <c r="X8" i="10"/>
  <c r="W8" i="10"/>
  <c r="V8" i="10"/>
  <c r="U8" i="10"/>
  <c r="T8" i="10"/>
  <c r="S8" i="10"/>
  <c r="R8" i="10"/>
  <c r="Q8" i="10"/>
  <c r="P8" i="10"/>
  <c r="O8" i="10"/>
  <c r="N8" i="10"/>
  <c r="M8" i="10"/>
  <c r="L8" i="10"/>
  <c r="K8" i="10"/>
  <c r="J8" i="10"/>
  <c r="AM7" i="10"/>
  <c r="AL7" i="10"/>
  <c r="AK7" i="10"/>
  <c r="AJ7" i="10"/>
  <c r="AI7" i="10"/>
  <c r="AH7" i="10"/>
  <c r="AG7" i="10"/>
  <c r="AF7" i="10"/>
  <c r="AE7" i="10"/>
  <c r="AD7" i="10"/>
  <c r="AC7" i="10"/>
  <c r="AB7" i="10"/>
  <c r="AA7" i="10"/>
  <c r="Z7" i="10"/>
  <c r="Y7" i="10"/>
  <c r="X7" i="10"/>
  <c r="W7" i="10"/>
  <c r="V7" i="10"/>
  <c r="U7" i="10"/>
  <c r="T7" i="10"/>
  <c r="S7" i="10"/>
  <c r="R7" i="10"/>
  <c r="Q7" i="10"/>
  <c r="P7" i="10"/>
  <c r="O7" i="10"/>
  <c r="N7" i="10"/>
  <c r="M7" i="10"/>
  <c r="L7" i="10"/>
  <c r="K7" i="10"/>
  <c r="J7" i="10"/>
  <c r="AM6" i="10"/>
  <c r="AL6" i="10"/>
  <c r="AK6" i="10"/>
  <c r="AJ6" i="10"/>
  <c r="AI6" i="10"/>
  <c r="AH6" i="10"/>
  <c r="AG6" i="10"/>
  <c r="AF6" i="10"/>
  <c r="AE6" i="10"/>
  <c r="AD6" i="10"/>
  <c r="AC6" i="10"/>
  <c r="AB6" i="10"/>
  <c r="AA6" i="10"/>
  <c r="Z6" i="10"/>
  <c r="Y6" i="10"/>
  <c r="X6" i="10"/>
  <c r="W6" i="10"/>
  <c r="V6" i="10"/>
  <c r="U6" i="10"/>
  <c r="T6" i="10"/>
  <c r="S6" i="10"/>
  <c r="R6" i="10"/>
  <c r="Q6" i="10"/>
  <c r="P6" i="10"/>
  <c r="O6" i="10"/>
  <c r="N6" i="10"/>
  <c r="M6" i="10"/>
  <c r="L6" i="10"/>
  <c r="K6" i="10"/>
  <c r="J6" i="10"/>
  <c r="N102" i="1" l="1"/>
  <c r="O102" i="1" s="1"/>
  <c r="P102" i="1" s="1"/>
  <c r="K102" i="1"/>
  <c r="L102" i="1" s="1"/>
  <c r="U102" i="1"/>
  <c r="X102" i="1"/>
  <c r="K103" i="1"/>
  <c r="N103" i="1"/>
  <c r="O103" i="1" s="1"/>
  <c r="P103" i="1" s="1"/>
  <c r="U103" i="1"/>
  <c r="X103" i="1"/>
  <c r="K104" i="1"/>
  <c r="L104" i="1" s="1"/>
  <c r="N104" i="1"/>
  <c r="O104" i="1" s="1"/>
  <c r="P104" i="1" s="1"/>
  <c r="U104" i="1"/>
  <c r="X104" i="1"/>
  <c r="K105" i="1"/>
  <c r="L105" i="1" s="1"/>
  <c r="N105" i="1"/>
  <c r="O105" i="1" s="1"/>
  <c r="P105" i="1" s="1"/>
  <c r="U105" i="1"/>
  <c r="X105" i="1"/>
  <c r="K99" i="1"/>
  <c r="L99" i="1" s="1"/>
  <c r="N99" i="1"/>
  <c r="O99" i="1" s="1"/>
  <c r="P99" i="1" s="1"/>
  <c r="U99" i="1"/>
  <c r="X99" i="1"/>
  <c r="K100" i="1"/>
  <c r="L100" i="1" s="1"/>
  <c r="N100" i="1"/>
  <c r="O100" i="1" s="1"/>
  <c r="P100" i="1" s="1"/>
  <c r="U100" i="1"/>
  <c r="X100" i="1"/>
  <c r="K101" i="1"/>
  <c r="L101" i="1" s="1"/>
  <c r="N101" i="1"/>
  <c r="O101" i="1" s="1"/>
  <c r="U101" i="1"/>
  <c r="X101" i="1"/>
  <c r="X79" i="1"/>
  <c r="X80" i="1"/>
  <c r="X78" i="1"/>
  <c r="X76" i="1"/>
  <c r="K58" i="1"/>
  <c r="L58" i="1" s="1"/>
  <c r="N58" i="1"/>
  <c r="O58" i="1" s="1"/>
  <c r="U58" i="1"/>
  <c r="X58" i="1"/>
  <c r="K59" i="1"/>
  <c r="N59" i="1"/>
  <c r="O59" i="1" s="1"/>
  <c r="P59" i="1" s="1"/>
  <c r="U59" i="1"/>
  <c r="X59" i="1"/>
  <c r="K55" i="1"/>
  <c r="L55" i="1" s="1"/>
  <c r="N55" i="1"/>
  <c r="O55" i="1" s="1"/>
  <c r="U55" i="1"/>
  <c r="X55" i="1"/>
  <c r="K56" i="1"/>
  <c r="N56" i="1"/>
  <c r="O56" i="1" s="1"/>
  <c r="P56" i="1" s="1"/>
  <c r="U56" i="1"/>
  <c r="X56" i="1"/>
  <c r="K48" i="1"/>
  <c r="L48" i="1" s="1"/>
  <c r="AB48" i="1" s="1"/>
  <c r="N48" i="1"/>
  <c r="O48" i="1" s="1"/>
  <c r="X44" i="1"/>
  <c r="U49" i="1"/>
  <c r="U50" i="1"/>
  <c r="N44" i="1"/>
  <c r="O44" i="1" s="1"/>
  <c r="K44" i="1"/>
  <c r="L44" i="1" s="1"/>
  <c r="K32" i="1"/>
  <c r="L32" i="1" s="1"/>
  <c r="N37" i="1"/>
  <c r="O37" i="1" s="1"/>
  <c r="P37" i="1" s="1"/>
  <c r="N38" i="1"/>
  <c r="O38" i="1" s="1"/>
  <c r="P38" i="1" s="1"/>
  <c r="K37" i="1"/>
  <c r="K38" i="1"/>
  <c r="U36" i="1"/>
  <c r="U37" i="1"/>
  <c r="X36" i="1"/>
  <c r="X37" i="1"/>
  <c r="X38" i="1"/>
  <c r="K35" i="1"/>
  <c r="L35" i="1" s="1"/>
  <c r="K34" i="1"/>
  <c r="L34" i="1" s="1"/>
  <c r="K33" i="1"/>
  <c r="L33" i="1" s="1"/>
  <c r="X32" i="1"/>
  <c r="U32" i="1"/>
  <c r="X30" i="1"/>
  <c r="X31" i="1"/>
  <c r="X33" i="1"/>
  <c r="X34" i="1"/>
  <c r="X35" i="1"/>
  <c r="X39" i="1"/>
  <c r="X40" i="1"/>
  <c r="X49" i="1"/>
  <c r="X50" i="1"/>
  <c r="X51" i="1"/>
  <c r="X52" i="1"/>
  <c r="X53" i="1"/>
  <c r="X54" i="1"/>
  <c r="X57" i="1"/>
  <c r="X75" i="1"/>
  <c r="X77" i="1"/>
  <c r="X98" i="1"/>
  <c r="X106" i="1"/>
  <c r="X107" i="1"/>
  <c r="X108" i="1"/>
  <c r="X109" i="1"/>
  <c r="X110" i="1"/>
  <c r="X111" i="1"/>
  <c r="X112" i="1"/>
  <c r="U30" i="1"/>
  <c r="U31" i="1"/>
  <c r="U33" i="1"/>
  <c r="U34" i="1"/>
  <c r="U35" i="1"/>
  <c r="K30" i="1"/>
  <c r="L30" i="1" s="1"/>
  <c r="O30" i="1"/>
  <c r="N15" i="1"/>
  <c r="N16" i="1"/>
  <c r="N17" i="1"/>
  <c r="N18" i="1"/>
  <c r="N31" i="1"/>
  <c r="O31" i="1" s="1"/>
  <c r="P31" i="1" s="1"/>
  <c r="N32" i="1"/>
  <c r="O32" i="1" s="1"/>
  <c r="N33" i="1"/>
  <c r="O33" i="1" s="1"/>
  <c r="N34" i="1"/>
  <c r="O34" i="1" s="1"/>
  <c r="N35" i="1"/>
  <c r="O35" i="1" s="1"/>
  <c r="P35" i="1" s="1"/>
  <c r="N36" i="1"/>
  <c r="N39" i="1"/>
  <c r="N40" i="1"/>
  <c r="N49" i="1"/>
  <c r="N50" i="1"/>
  <c r="N51" i="1"/>
  <c r="N52" i="1"/>
  <c r="N53" i="1"/>
  <c r="N54" i="1"/>
  <c r="N57" i="1"/>
  <c r="N98" i="1"/>
  <c r="N106" i="1"/>
  <c r="N107" i="1"/>
  <c r="N108" i="1"/>
  <c r="N109" i="1"/>
  <c r="N110" i="1"/>
  <c r="N111" i="1"/>
  <c r="N112" i="1"/>
  <c r="N14" i="1"/>
  <c r="K31" i="1"/>
  <c r="L31" i="1" s="1"/>
  <c r="C30" i="1"/>
  <c r="C54" i="1"/>
  <c r="AC48" i="1" l="1"/>
  <c r="AD48" i="1"/>
  <c r="AF105" i="1"/>
  <c r="AE105" i="1" s="1"/>
  <c r="AB102" i="1"/>
  <c r="AC102" i="1" s="1"/>
  <c r="AB105" i="1"/>
  <c r="AC105" i="1" s="1"/>
  <c r="AF102" i="1"/>
  <c r="AE102" i="1" s="1"/>
  <c r="AF103" i="1"/>
  <c r="AE103" i="1" s="1"/>
  <c r="AB104" i="1"/>
  <c r="AC104" i="1" s="1"/>
  <c r="Q104" i="1"/>
  <c r="Q103" i="1"/>
  <c r="L103" i="1"/>
  <c r="AB103" i="1" s="1"/>
  <c r="AB99" i="1"/>
  <c r="AD99" i="1" s="1"/>
  <c r="AB100" i="1"/>
  <c r="AC100" i="1" s="1"/>
  <c r="Q102" i="1"/>
  <c r="AF104" i="1"/>
  <c r="AE104" i="1" s="1"/>
  <c r="Q105" i="1"/>
  <c r="AF100" i="1"/>
  <c r="AE100" i="1" s="1"/>
  <c r="AF99" i="1"/>
  <c r="AE99" i="1" s="1"/>
  <c r="P101" i="1"/>
  <c r="AF101" i="1" s="1"/>
  <c r="AE101" i="1" s="1"/>
  <c r="Q101" i="1"/>
  <c r="Q100" i="1"/>
  <c r="Q99" i="1"/>
  <c r="AB101" i="1"/>
  <c r="AF80" i="1"/>
  <c r="AE80" i="1" s="1"/>
  <c r="AB80" i="1"/>
  <c r="AD80" i="1" s="1"/>
  <c r="AB79" i="1"/>
  <c r="AC79" i="1" s="1"/>
  <c r="AF79" i="1"/>
  <c r="AE79" i="1" s="1"/>
  <c r="AF78" i="1"/>
  <c r="AE78" i="1" s="1"/>
  <c r="AB78" i="1"/>
  <c r="AF76" i="1"/>
  <c r="AE76" i="1" s="1"/>
  <c r="AB76" i="1"/>
  <c r="AF59" i="1"/>
  <c r="AE59" i="1" s="1"/>
  <c r="Q59" i="1"/>
  <c r="P58" i="1"/>
  <c r="AF58" i="1" s="1"/>
  <c r="AE58" i="1" s="1"/>
  <c r="Q58" i="1"/>
  <c r="AB58" i="1"/>
  <c r="L59" i="1"/>
  <c r="AB59" i="1" s="1"/>
  <c r="AF56" i="1"/>
  <c r="AE56" i="1" s="1"/>
  <c r="P55" i="1"/>
  <c r="AF55" i="1" s="1"/>
  <c r="AE55" i="1" s="1"/>
  <c r="Q55" i="1"/>
  <c r="Q56" i="1"/>
  <c r="AB55" i="1"/>
  <c r="L56" i="1"/>
  <c r="AB56" i="1" s="1"/>
  <c r="Q48" i="1"/>
  <c r="P48" i="1"/>
  <c r="AF48" i="1" s="1"/>
  <c r="AE48" i="1" s="1"/>
  <c r="AG48" i="1" s="1"/>
  <c r="AB44" i="1"/>
  <c r="AC44" i="1" s="1"/>
  <c r="Q44" i="1"/>
  <c r="P44" i="1"/>
  <c r="AF44" i="1" s="1"/>
  <c r="AE44" i="1" s="1"/>
  <c r="AF37" i="1"/>
  <c r="AE37" i="1" s="1"/>
  <c r="Q38" i="1"/>
  <c r="Q37" i="1"/>
  <c r="AB32" i="1"/>
  <c r="AC32" i="1" s="1"/>
  <c r="L38" i="1"/>
  <c r="L37" i="1"/>
  <c r="AB37" i="1" s="1"/>
  <c r="AC37" i="1" s="1"/>
  <c r="AB35" i="1"/>
  <c r="AC35" i="1" s="1"/>
  <c r="Q35" i="1"/>
  <c r="AB34" i="1"/>
  <c r="AC34" i="1" s="1"/>
  <c r="AB33" i="1"/>
  <c r="AC33" i="1" s="1"/>
  <c r="AF31" i="1"/>
  <c r="AE31" i="1" s="1"/>
  <c r="AB30" i="1"/>
  <c r="AD30" i="1" s="1"/>
  <c r="AF35" i="1"/>
  <c r="AE35" i="1" s="1"/>
  <c r="AB31" i="1"/>
  <c r="AC31" i="1" s="1"/>
  <c r="Q31" i="1"/>
  <c r="Q30" i="1"/>
  <c r="P30" i="1"/>
  <c r="AF30" i="1" s="1"/>
  <c r="AE30" i="1" s="1"/>
  <c r="P34" i="1"/>
  <c r="AF34" i="1" s="1"/>
  <c r="AE34" i="1" s="1"/>
  <c r="Q34" i="1"/>
  <c r="Q33" i="1"/>
  <c r="P33" i="1"/>
  <c r="AF33" i="1" s="1"/>
  <c r="AE33" i="1" s="1"/>
  <c r="Q32" i="1"/>
  <c r="P32" i="1"/>
  <c r="AF32" i="1" s="1"/>
  <c r="AE32" i="1" s="1"/>
  <c r="U14" i="1"/>
  <c r="X14" i="1"/>
  <c r="U15" i="1"/>
  <c r="X15" i="1"/>
  <c r="O15" i="1"/>
  <c r="K15" i="1"/>
  <c r="L15" i="1" s="1"/>
  <c r="K16" i="1"/>
  <c r="K17" i="1"/>
  <c r="K18" i="1"/>
  <c r="K39" i="1"/>
  <c r="K40" i="1"/>
  <c r="K49" i="1"/>
  <c r="K50" i="1"/>
  <c r="K51" i="1"/>
  <c r="K52" i="1"/>
  <c r="K53" i="1"/>
  <c r="K54" i="1"/>
  <c r="K57" i="1"/>
  <c r="K98" i="1"/>
  <c r="K106" i="1"/>
  <c r="K107" i="1"/>
  <c r="K108" i="1"/>
  <c r="K109" i="1"/>
  <c r="K110" i="1"/>
  <c r="K111" i="1"/>
  <c r="K112" i="1"/>
  <c r="AG102" i="1" l="1"/>
  <c r="AG105" i="1"/>
  <c r="AC99" i="1"/>
  <c r="AG99" i="1" s="1"/>
  <c r="AD105" i="1"/>
  <c r="AD100" i="1"/>
  <c r="AD102" i="1"/>
  <c r="AD104" i="1"/>
  <c r="AC103" i="1"/>
  <c r="AG103" i="1" s="1"/>
  <c r="AD103" i="1"/>
  <c r="AG104" i="1"/>
  <c r="AG100" i="1"/>
  <c r="AC101" i="1"/>
  <c r="AG101" i="1" s="1"/>
  <c r="AD101" i="1"/>
  <c r="AC80" i="1"/>
  <c r="AG80" i="1" s="1"/>
  <c r="AD79" i="1"/>
  <c r="AG79" i="1"/>
  <c r="AC78" i="1"/>
  <c r="AG78" i="1" s="1"/>
  <c r="AD78" i="1"/>
  <c r="AD76" i="1"/>
  <c r="AC76" i="1"/>
  <c r="AG76" i="1" s="1"/>
  <c r="AC59" i="1"/>
  <c r="AG59" i="1" s="1"/>
  <c r="AD59" i="1"/>
  <c r="AD58" i="1"/>
  <c r="AC58" i="1"/>
  <c r="AG58" i="1" s="1"/>
  <c r="AC56" i="1"/>
  <c r="AG56" i="1" s="1"/>
  <c r="AD56" i="1"/>
  <c r="AC55" i="1"/>
  <c r="AG55" i="1" s="1"/>
  <c r="AD55" i="1"/>
  <c r="AD44" i="1"/>
  <c r="AG44" i="1"/>
  <c r="AD32" i="1"/>
  <c r="AG33" i="1"/>
  <c r="AG37" i="1"/>
  <c r="AD37" i="1"/>
  <c r="AD33" i="1"/>
  <c r="AG34" i="1"/>
  <c r="AG35" i="1"/>
  <c r="AD35" i="1"/>
  <c r="AD34" i="1"/>
  <c r="AG31" i="1"/>
  <c r="AC30" i="1"/>
  <c r="AG30" i="1" s="1"/>
  <c r="AD31" i="1"/>
  <c r="Q15" i="1"/>
  <c r="AB15" i="1"/>
  <c r="AC15" i="1" s="1"/>
  <c r="P15" i="1"/>
  <c r="AF15" i="1" s="1"/>
  <c r="AE15" i="1" s="1"/>
  <c r="AG15" i="1" l="1"/>
  <c r="AD15" i="1"/>
  <c r="X16" i="1" l="1"/>
  <c r="X17" i="1"/>
  <c r="X18" i="1"/>
  <c r="U16" i="1"/>
  <c r="U17" i="1"/>
  <c r="U18" i="1"/>
  <c r="U38" i="1"/>
  <c r="AF38" i="1" s="1"/>
  <c r="U39" i="1"/>
  <c r="U40" i="1"/>
  <c r="U51" i="1"/>
  <c r="U52" i="1"/>
  <c r="U53" i="1"/>
  <c r="U54" i="1"/>
  <c r="U57" i="1"/>
  <c r="U98" i="1"/>
  <c r="U106" i="1"/>
  <c r="U107" i="1"/>
  <c r="U108" i="1"/>
  <c r="U109" i="1"/>
  <c r="U110" i="1"/>
  <c r="U111" i="1"/>
  <c r="U112" i="1"/>
  <c r="AE38" i="1" l="1"/>
  <c r="AB38" i="1"/>
  <c r="L18" i="1"/>
  <c r="AB18" i="1" s="1"/>
  <c r="L49" i="1"/>
  <c r="AB49" i="1" s="1"/>
  <c r="L51" i="1"/>
  <c r="AB51" i="1" s="1"/>
  <c r="L57" i="1"/>
  <c r="AB57" i="1" s="1"/>
  <c r="AB75" i="1"/>
  <c r="AB77" i="1"/>
  <c r="L110" i="1"/>
  <c r="AB110" i="1" s="1"/>
  <c r="L111" i="1"/>
  <c r="AB111" i="1" s="1"/>
  <c r="K14" i="1"/>
  <c r="O16" i="1"/>
  <c r="O17" i="1"/>
  <c r="Q17" i="1" s="1"/>
  <c r="O18" i="1"/>
  <c r="Q18" i="1" s="1"/>
  <c r="O36" i="1"/>
  <c r="O39" i="1"/>
  <c r="P39" i="1" s="1"/>
  <c r="AF39" i="1" s="1"/>
  <c r="AE39" i="1" s="1"/>
  <c r="O40" i="1"/>
  <c r="O49" i="1"/>
  <c r="P49" i="1" s="1"/>
  <c r="AF49" i="1" s="1"/>
  <c r="AE49" i="1" s="1"/>
  <c r="O50" i="1"/>
  <c r="O51" i="1"/>
  <c r="P51" i="1" s="1"/>
  <c r="AF51" i="1" s="1"/>
  <c r="AE51" i="1" s="1"/>
  <c r="O52" i="1"/>
  <c r="O53" i="1"/>
  <c r="O54" i="1"/>
  <c r="Q54" i="1" s="1"/>
  <c r="O57" i="1"/>
  <c r="O98" i="1"/>
  <c r="O106" i="1"/>
  <c r="P106" i="1" s="1"/>
  <c r="AF106" i="1" s="1"/>
  <c r="AE106" i="1" s="1"/>
  <c r="O107" i="1"/>
  <c r="O108" i="1"/>
  <c r="O109" i="1"/>
  <c r="O110" i="1"/>
  <c r="O111" i="1"/>
  <c r="O112" i="1"/>
  <c r="P112" i="1" s="1"/>
  <c r="AF112" i="1" s="1"/>
  <c r="AE112" i="1" s="1"/>
  <c r="O14" i="1"/>
  <c r="P14" i="1" s="1"/>
  <c r="AF14" i="1" s="1"/>
  <c r="AE14" i="1" s="1"/>
  <c r="L2" i="2"/>
  <c r="L17" i="1"/>
  <c r="AB17" i="1" s="1"/>
  <c r="L36" i="1"/>
  <c r="AB36" i="1" s="1"/>
  <c r="L40" i="1"/>
  <c r="AB40" i="1" s="1"/>
  <c r="L50" i="1"/>
  <c r="AB50" i="1" s="1"/>
  <c r="L52" i="1"/>
  <c r="AB52" i="1" s="1"/>
  <c r="L53" i="1"/>
  <c r="AB53" i="1" s="1"/>
  <c r="L54" i="1"/>
  <c r="AB54" i="1" s="1"/>
  <c r="L98" i="1"/>
  <c r="AB98" i="1" s="1"/>
  <c r="L107" i="1"/>
  <c r="AB107" i="1" s="1"/>
  <c r="L108" i="1"/>
  <c r="AB108" i="1" s="1"/>
  <c r="L109" i="1"/>
  <c r="AB109" i="1" s="1"/>
  <c r="AD36" i="1" l="1"/>
  <c r="AC36" i="1"/>
  <c r="AC38" i="1"/>
  <c r="AG38" i="1" s="1"/>
  <c r="AD38" i="1"/>
  <c r="AC54" i="1"/>
  <c r="AD54" i="1"/>
  <c r="AC57" i="1"/>
  <c r="AD57" i="1"/>
  <c r="AC98" i="1"/>
  <c r="AD98" i="1"/>
  <c r="AD111" i="1"/>
  <c r="AC111" i="1"/>
  <c r="AD52" i="1"/>
  <c r="AC52" i="1"/>
  <c r="AD40" i="1"/>
  <c r="AC40" i="1"/>
  <c r="AC18" i="1"/>
  <c r="AD18" i="1"/>
  <c r="AD108" i="1"/>
  <c r="AC108" i="1"/>
  <c r="AC77" i="1"/>
  <c r="AD77" i="1"/>
  <c r="AC17" i="1"/>
  <c r="AD17" i="1"/>
  <c r="AC75" i="1"/>
  <c r="AD75" i="1"/>
  <c r="AD53" i="1"/>
  <c r="AC53" i="1"/>
  <c r="AD107" i="1"/>
  <c r="AC107" i="1"/>
  <c r="AC109" i="1"/>
  <c r="AD109" i="1"/>
  <c r="AC110" i="1"/>
  <c r="AD110" i="1"/>
  <c r="AC50" i="1"/>
  <c r="AD50" i="1"/>
  <c r="AC49" i="1"/>
  <c r="AG49" i="1" s="1"/>
  <c r="AD49" i="1"/>
  <c r="AD51" i="1"/>
  <c r="AC51" i="1"/>
  <c r="AG51" i="1" s="1"/>
  <c r="P16" i="1"/>
  <c r="AF16" i="1" s="1"/>
  <c r="AE16" i="1" s="1"/>
  <c r="Q16" i="1"/>
  <c r="L14" i="1"/>
  <c r="AB14" i="1" s="1"/>
  <c r="Q14" i="1"/>
  <c r="Q112" i="1"/>
  <c r="P18" i="1"/>
  <c r="AF18" i="1" s="1"/>
  <c r="AE18" i="1" s="1"/>
  <c r="Q98" i="1"/>
  <c r="P98" i="1"/>
  <c r="AF98" i="1" s="1"/>
  <c r="AE98" i="1" s="1"/>
  <c r="Q36" i="1"/>
  <c r="P36" i="1"/>
  <c r="AF36" i="1" s="1"/>
  <c r="AE36" i="1" s="1"/>
  <c r="P111" i="1"/>
  <c r="AF111" i="1" s="1"/>
  <c r="AE111" i="1" s="1"/>
  <c r="Q111" i="1"/>
  <c r="AF77" i="1"/>
  <c r="AE77" i="1" s="1"/>
  <c r="AF75" i="1"/>
  <c r="AE75" i="1" s="1"/>
  <c r="P17" i="1"/>
  <c r="AF17" i="1" s="1"/>
  <c r="AE17" i="1" s="1"/>
  <c r="P108" i="1"/>
  <c r="AF108" i="1" s="1"/>
  <c r="AE108" i="1" s="1"/>
  <c r="Q108" i="1"/>
  <c r="P53" i="1"/>
  <c r="AF53" i="1" s="1"/>
  <c r="AE53" i="1" s="1"/>
  <c r="Q53" i="1"/>
  <c r="Q57" i="1"/>
  <c r="P57" i="1"/>
  <c r="AF57" i="1" s="1"/>
  <c r="AE57" i="1" s="1"/>
  <c r="Q109" i="1"/>
  <c r="P109" i="1"/>
  <c r="AF109" i="1" s="1"/>
  <c r="AE109" i="1" s="1"/>
  <c r="P54" i="1"/>
  <c r="AF54" i="1" s="1"/>
  <c r="AE54" i="1" s="1"/>
  <c r="P107" i="1"/>
  <c r="AF107" i="1" s="1"/>
  <c r="AE107" i="1" s="1"/>
  <c r="Q107" i="1"/>
  <c r="P52" i="1"/>
  <c r="AF52" i="1" s="1"/>
  <c r="AE52" i="1" s="1"/>
  <c r="Q52" i="1"/>
  <c r="P40" i="1"/>
  <c r="AF40" i="1" s="1"/>
  <c r="AE40" i="1" s="1"/>
  <c r="Q40" i="1"/>
  <c r="P110" i="1"/>
  <c r="AF110" i="1" s="1"/>
  <c r="AE110" i="1" s="1"/>
  <c r="Q110" i="1"/>
  <c r="Q50" i="1"/>
  <c r="P50" i="1"/>
  <c r="AF50" i="1" s="1"/>
  <c r="AE50" i="1" s="1"/>
  <c r="Q106" i="1"/>
  <c r="Q51" i="1"/>
  <c r="Q39" i="1"/>
  <c r="Q49" i="1"/>
  <c r="L112" i="1"/>
  <c r="AB112" i="1" s="1"/>
  <c r="AC112" i="1" s="1"/>
  <c r="AG112" i="1" s="1"/>
  <c r="L16" i="1"/>
  <c r="AB16" i="1" s="1"/>
  <c r="AC16" i="1" s="1"/>
  <c r="L106" i="1"/>
  <c r="AB106" i="1" s="1"/>
  <c r="AD106" i="1" s="1"/>
  <c r="L39" i="1"/>
  <c r="AB39" i="1" s="1"/>
  <c r="AD39" i="1" s="1"/>
  <c r="AG98" i="1" l="1"/>
  <c r="AG107" i="1"/>
  <c r="AG111" i="1"/>
  <c r="AG110" i="1"/>
  <c r="AD112" i="1"/>
  <c r="AG108" i="1"/>
  <c r="AC106" i="1"/>
  <c r="AG106" i="1" s="1"/>
  <c r="AG109" i="1"/>
  <c r="AG54" i="1"/>
  <c r="AG77" i="1"/>
  <c r="AG75" i="1"/>
  <c r="AG57" i="1"/>
  <c r="AG53" i="1"/>
  <c r="AG52" i="1"/>
  <c r="AG50" i="1"/>
  <c r="AC39" i="1"/>
  <c r="AG39" i="1" s="1"/>
  <c r="AG40" i="1"/>
  <c r="AG36" i="1"/>
  <c r="AG16" i="1"/>
  <c r="AG17" i="1"/>
  <c r="AG18" i="1"/>
  <c r="AD16" i="1"/>
  <c r="AC14" i="1"/>
  <c r="AG14" i="1" s="1"/>
  <c r="AD14" i="1"/>
  <c r="C16" i="1"/>
  <c r="C36" i="1"/>
  <c r="C44" i="1"/>
  <c r="C48" i="1"/>
  <c r="C98" i="1"/>
  <c r="C107" i="1"/>
  <c r="C110" i="1"/>
  <c r="C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53C9D458-2610-4DDF-BD5F-A60FE5F728AE}">
      <text>
        <r>
          <rPr>
            <sz val="11"/>
            <color theme="1"/>
            <rFont val="Calibri"/>
            <family val="2"/>
            <scheme val="minor"/>
          </rPr>
          <t xml:space="preserve">
Este número consecutivo se utiliza para cada riesgo, empezando desde 1.</t>
        </r>
      </text>
    </comment>
    <comment ref="B9" authorId="0" shapeId="0" xr:uid="{73A494C5-70D9-47C8-A878-42627CA0DC67}">
      <text>
        <r>
          <rPr>
            <sz val="11"/>
            <color theme="1"/>
            <rFont val="Calibri"/>
            <family val="2"/>
            <scheme val="minor"/>
          </rPr>
          <t xml:space="preserve">
Elija de la lista desplegable  el nombre del proceso y de forma automática se generará el objetivo del mismo.</t>
        </r>
      </text>
    </comment>
  </commentList>
</comments>
</file>

<file path=xl/sharedStrings.xml><?xml version="1.0" encoding="utf-8"?>
<sst xmlns="http://schemas.openxmlformats.org/spreadsheetml/2006/main" count="985" uniqueCount="610">
  <si>
    <t>MATRIZ MAPA DE RIESGOS INSTRUCCIONES</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</si>
  <si>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Guía para la Administración del Riesgo y el diseño de controles V6. El formato cuenta con celdas parametrizadas y permite contar con los respectivos mapas de calor para riesgo inherente y riesgo residual</t>
  </si>
  <si>
    <t>CRITERIO</t>
  </si>
  <si>
    <t xml:space="preserve">EXPLICACIÓN </t>
  </si>
  <si>
    <t>PROCESO</t>
  </si>
  <si>
    <t>Diligencie el nombre del proceso al cual se le identificarán y valorarán los riesgos.</t>
  </si>
  <si>
    <t>OBJETIVO DEL PROCESO</t>
  </si>
  <si>
    <t>Al añadir  el nombre del proceso, automáticamente quedará el objetivo del proceso.</t>
  </si>
  <si>
    <t>CONTEXTO ESTRATÉGICO</t>
  </si>
  <si>
    <t xml:space="preserve">Son las condiciones internas y del entorno, que pueden generar eventos que originan oportunidades o afectan negativamente el cumplimiento de la misión y objetivos de una institución. </t>
  </si>
  <si>
    <t>EXTERNO</t>
  </si>
  <si>
    <t>Las situaciones del entorno o externas pueden ser de carácter social, cultural, económico,tecnológico, político y legal, bien sean internacional, nacional o regional según sea el caso de análisis.</t>
  </si>
  <si>
    <t>INTERNO</t>
  </si>
  <si>
    <t>Las situaciones internas están relacionadas con la estructura, cultura organizacional, el modelo de operación, el cumplimiento de los planes y programas, los sistemas de información, los procesos y procedimientos y los recursos humanos y económicos con los que cuenta una entidad.</t>
  </si>
  <si>
    <t>CLASIFICACIÓN DEL RIESGO</t>
  </si>
  <si>
    <t>Las entidades, durante el proceso de identificación del riesgo, pueden hacer una clasificación de los mismos, con el fin de formular políticas de operación para darles el tratamiento indicado; así mismo este análisis servirá de base para el impacto o consecuencias durante el proceso de análisis del riesgo contemplado dentro de la metodología.
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</si>
  <si>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DESCRIPCIÓN DEL RIESGO</t>
  </si>
  <si>
    <t>Consolida o resume los análisis sobre riesgo+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</si>
  <si>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</si>
  <si>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</si>
  <si>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</si>
  <si>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</si>
  <si>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FRECUENCIA CON LA CUAL SE LLEVA A CABO LA ACTIVIDAD</t>
  </si>
  <si>
    <t>Defina el número de veces que se ejecuta la actividad durante el año, (Recuerde la probabilidad y ocurrencia del riesgo se defien como el No. de veces que se pasa por el punto de riesgo en el periodo de 1 año). La matriz automáticamente hará el cálculo para el nivel de probabilidad inherente.</t>
  </si>
  <si>
    <t>CRITERIOS DE IMPACTO</t>
  </si>
  <si>
    <t>Utilice la lista de despligue que se encuentra parametrizada, le aparecerán las opciones de la tabla de Impacto en la Hoja 6 del presente documento. La matriz automáticamente hará el cálculo para el nivel de impacto inherente</t>
  </si>
  <si>
    <t>ZONA DE RIESGO INHERENTE</t>
  </si>
  <si>
    <t>Teniendo en cuenta que ingresó la información de PROBABILIDAD e IMPACTO, la matriz automáticamente hará el cálculo para la zona de riesgo inherente</t>
  </si>
  <si>
    <t>DESCRIPCIÓN DEL CONTROL</t>
  </si>
  <si>
    <t>El control se define como la medida que permite reducir o mitigar un riesgo. Defina el control (es) que atacan la causa raíz del riesgo, considere la estructura explicada en la guía: Responsable de ejecutar el control + Acción + Complemento</t>
  </si>
  <si>
    <t>RESPONSABLE</t>
  </si>
  <si>
    <t>Señale el cargo o proceso responsable de ejecutar el control</t>
  </si>
  <si>
    <t>AFECTACIÓN</t>
  </si>
  <si>
    <t>Esta casilla no se diligencia, depende de la selección en la columna V.</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</si>
  <si>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</si>
  <si>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</si>
  <si>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</si>
  <si>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t>
  </si>
  <si>
    <r>
      <t xml:space="preserve">ATRIBUTOS INFORMATIVOS
</t>
    </r>
    <r>
      <rPr>
        <sz val="9"/>
        <rFont val="Arial Narrow"/>
        <family val="2"/>
      </rPr>
      <t>Documentación</t>
    </r>
  </si>
  <si>
    <t>Utilice la lista de despligue que se encuentra parametrizada, le aparecerán las opciones: i)Documentado, ii) No requiere documentación</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</si>
  <si>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</si>
  <si>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</si>
  <si>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</si>
  <si>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</si>
  <si>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</si>
  <si>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t>La matriz automáticamente hará el cálculo, acorde con el control o controles definidos con sus atributos analizados, lo que permitirá establecer el nivel de riesgo residual.</t>
  </si>
  <si>
    <t>TRATAMIENTO</t>
  </si>
  <si>
    <t>Después de realizar el análisis de los atributos, utilice la lista de despligue que se encuentra parametrizada, le aparecerán las opciones: i)Aceptar, ii)Evitar, iii)Reducir (compartir), iv)Reducir (mitigar).</t>
  </si>
  <si>
    <t>PLAN DE ACCIÓN</t>
  </si>
  <si>
    <t xml:space="preserve">Esta casilla dependerá del tratamiento establecido, si es Aceptar no se requieren acciones adicionales, en caso de escoger Reducir (mitigar) se deben diligenciar las acciones que se adelantarán como complemento a los controles establecidos (Plan de acción),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</si>
  <si>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</si>
  <si>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proceso, la selección en este caso dependerá de las acciones del plan que se hayan establecido en cada caso.</t>
  </si>
  <si>
    <t>MATRIZ DE RIESGOS INSTITUCIONALES VIVA</t>
  </si>
  <si>
    <t>OBJETIVO</t>
  </si>
  <si>
    <r>
      <t>Liderar la politica de administración de riesgos de la entidad mediante la identificación, análisis, valoración y tratamiento de los mismos con el fin de prevenir la materialización y/o minimizar el impacto permitiendo tomar decisiones en cada tipo de riesgo planificando enfocado a reducir, mitigar o eliminar los riesgos potenciales de los diferentes procesos.</t>
    </r>
    <r>
      <rPr>
        <sz val="11"/>
        <color rgb="FFFF0000"/>
        <rFont val="Arial"/>
        <family val="2"/>
      </rPr>
      <t/>
    </r>
  </si>
  <si>
    <t>ALCANCE</t>
  </si>
  <si>
    <t>Aplica para todos los procesos del Sistema de Gestión.</t>
  </si>
  <si>
    <t xml:space="preserve">Proceso de Planeación Estratégica y Gestión Organizacional </t>
  </si>
  <si>
    <t xml:space="preserve">CONTROL DE DCUMENTOS </t>
  </si>
  <si>
    <r>
      <rPr>
        <b/>
        <sz val="11"/>
        <rFont val="Arial"/>
        <family val="2"/>
      </rPr>
      <t xml:space="preserve">ELABORÓ: </t>
    </r>
    <r>
      <rPr>
        <sz val="11"/>
        <rFont val="Arial"/>
        <family val="2"/>
      </rPr>
      <t>Stefanía Acevedo Carvajal
Tecnóloga de Apoyo Gestión Organizacional</t>
    </r>
  </si>
  <si>
    <r>
      <rPr>
        <b/>
        <sz val="11"/>
        <color rgb="FF000000"/>
        <rFont val="Arial"/>
        <family val="2"/>
      </rPr>
      <t>REVISÓ:</t>
    </r>
    <r>
      <rPr>
        <sz val="11"/>
        <color rgb="FF000000"/>
        <rFont val="Arial"/>
        <family val="2"/>
      </rPr>
      <t xml:space="preserve"> Tatiana Andrea Maya Gutiérrez
Profesional Universitaria Gestión Organizacional</t>
    </r>
  </si>
  <si>
    <r>
      <rPr>
        <b/>
        <sz val="11"/>
        <color rgb="FF000000"/>
        <rFont val="Arial"/>
        <family val="2"/>
      </rPr>
      <t>APROBÓ:</t>
    </r>
    <r>
      <rPr>
        <sz val="11"/>
        <color rgb="FF000000"/>
        <rFont val="Arial"/>
        <family val="2"/>
      </rPr>
      <t xml:space="preserve"> Susana Andrea Gómez Zapata
Coordinadora de Gestión Organizacional</t>
    </r>
  </si>
  <si>
    <r>
      <rPr>
        <b/>
        <sz val="11"/>
        <color rgb="FF000000"/>
        <rFont val="Arial"/>
        <family val="2"/>
      </rPr>
      <t>CÓDIGO:</t>
    </r>
    <r>
      <rPr>
        <sz val="11"/>
        <color rgb="FF000000"/>
        <rFont val="Arial"/>
        <family val="2"/>
      </rPr>
      <t xml:space="preserve"> GEO-MT-10</t>
    </r>
  </si>
  <si>
    <t>VERSIÓN: 6</t>
  </si>
  <si>
    <t>CONSECUTIVO</t>
  </si>
  <si>
    <t>CLASIFICACIÓN 
DEL RIESGO</t>
  </si>
  <si>
    <t>IDENTIFICACIÓN DEL RIESGO</t>
  </si>
  <si>
    <t xml:space="preserve">ANÁLISIS DEL RIESGO INHERENTE </t>
  </si>
  <si>
    <t>EVALUACIÓN DEL RIESGO-VALORACIÓN DE LOS CONTROLES</t>
  </si>
  <si>
    <t>EVALUACIÓN DEL RIESGO - NIVEL DE RIESGO RESIDUAL</t>
  </si>
  <si>
    <t xml:space="preserve">DESCRIPCIÓN DEL RIESGO
T POSIBILIDAD DE + Impacto para la entidad (Qué) </t>
  </si>
  <si>
    <t xml:space="preserve">CAUSA INMEDIATA 
Causa Inmediata (Cómo) </t>
  </si>
  <si>
    <t>CAUSA RAÍZ
 Causa Raíz (Por qué)</t>
  </si>
  <si>
    <t>FRECUENCIA CON LA QUE SE REALIZA LA ACTIVIDAD</t>
  </si>
  <si>
    <t>PROBABILIDAD INHERENTE</t>
  </si>
  <si>
    <t>%</t>
  </si>
  <si>
    <t>CRITERIOS  DE IMPACTO</t>
  </si>
  <si>
    <t>OBSERVACIÓN DEL CRITERIO
 (NO DILIGENCIAR)</t>
  </si>
  <si>
    <t xml:space="preserve">IMPACTO INHERENTE </t>
  </si>
  <si>
    <t>N° CONTROL</t>
  </si>
  <si>
    <t>DESCRIPCIÓN DEL  CONTROL</t>
  </si>
  <si>
    <t>ATRIBUTOS</t>
  </si>
  <si>
    <t>PROBABILIDAD RESIDUAL</t>
  </si>
  <si>
    <t>PROBABILIDAD RESIDUAL FINAL</t>
  </si>
  <si>
    <t>IMPACTO RESIDUAL FINAL</t>
  </si>
  <si>
    <t>ZONA DE RIESGO FINAL</t>
  </si>
  <si>
    <t>TIPO</t>
  </si>
  <si>
    <t>IMPLEMENTACIÓN</t>
  </si>
  <si>
    <t>CALIFICACIÓN</t>
  </si>
  <si>
    <t>DOCUMENTACIÓN</t>
  </si>
  <si>
    <t>FRECUENCIA</t>
  </si>
  <si>
    <t>EVIDENCIA</t>
  </si>
  <si>
    <t>GESTIÓN ORGANIZACIONAL</t>
  </si>
  <si>
    <t>TECNOLOGÍA</t>
  </si>
  <si>
    <t>USUARIOS, PRODUCTOS Y PRÁCTICAS</t>
  </si>
  <si>
    <t>Posibilidad de alteración y/o pérdida de la información documentada del Sistema de Gestión.</t>
  </si>
  <si>
    <t>Acceso de personal a la intranet que no cuentan con la autorización desde el proceso.</t>
  </si>
  <si>
    <t>Fallas en el alcance del acceso al Modelo de Gestión Organizacional (Intranet VIVA).</t>
  </si>
  <si>
    <t>El riesgo afecta la imagen de alguna área de la organización</t>
  </si>
  <si>
    <t>La Profesional Universitaria de  Gestión Organizacional realiza  seguimiento y controla los permisos de acceso y edición del MGO a través del monitoreo de los permisos otorgados de la intranet de tal manera que se pueda garantizar uso exclusivo por parte de la persona responsable.</t>
  </si>
  <si>
    <t>Profesional Universitario Gestión Organizacional</t>
  </si>
  <si>
    <t xml:space="preserve">
Falta de copias de respaldo del Modelo de Gestión Organizacional.</t>
  </si>
  <si>
    <t>El riesgo afecta la imagen de la entidad internamente, de conocimiento general, nivel interno, de junta dircetiva y accionistas y/o de provedores</t>
  </si>
  <si>
    <t xml:space="preserve">
La Coordinadora o el Profesional Universitario de Gestión Organizacional solicitará al proceso Gestión de Información y Tecnología realizar Backup semanal al sitio del MGO en la Intranet.</t>
  </si>
  <si>
    <t xml:space="preserve">
Coordinadora Gestión Organizacional.
Profesional Universitario Gestión Organizacional</t>
  </si>
  <si>
    <t xml:space="preserve">PLANEACIÓN ESTRATÉGICA </t>
  </si>
  <si>
    <t>REPUTACIONALES</t>
  </si>
  <si>
    <t>Incumplimiento normativo por viabilización de proyectos desde la diirección de planeación que pueda presentar documentación erronea o incompleta.</t>
  </si>
  <si>
    <t>Desconocimiento y/o mala aplicación de los procedimientos para la verificación técnica, normativa, legal o financiera.</t>
  </si>
  <si>
    <t>Comunicación defciente con los aliados al suministrar y/o recibir informacion necesaria para el desarrollo de los proyectos  asi como la recepcion de infomacion incompleta.</t>
  </si>
  <si>
    <t>El riesgo afecta la imagen de la entidad con algunos usuarios de relevancia frente al logro de los objetivos</t>
  </si>
  <si>
    <t>Los Lideres de programas de Planeación relizarán la mplementación de la mesa técnica según lo establecido en la Resolución 252 del año 2023.</t>
  </si>
  <si>
    <t>Lideres de programas de Planeación
Coordinación de Planeación</t>
  </si>
  <si>
    <t>SOCIALES</t>
  </si>
  <si>
    <t>Posibilidad de ncumplimiento de la Empresa en las metas proyectadas en el Plan de Desarrollo de un periodo administrativo.</t>
  </si>
  <si>
    <t>Falta de inventario de proyectos en el territorio y/o interés de los aliados.</t>
  </si>
  <si>
    <t>Estructuracion deficiente de los proyectos por parte de los aliados</t>
  </si>
  <si>
    <t>El riesgo afecta la imagen de de la entidad con efecto publicitario sostenido a nivel de sector administrativo, nivel departamental o municipal</t>
  </si>
  <si>
    <t>Relacionamiento estratégico con los aliados.</t>
  </si>
  <si>
    <t xml:space="preserve">Alta Dirección- Coordinación de Planeación </t>
  </si>
  <si>
    <t>Baja capacidad instalada para la formulación y viabilización de los planes, programas y proyectos.</t>
  </si>
  <si>
    <t>Búsqueda activa de inventario de proyectos en el territorio (gestión enlaces subregionales, gestión Alta Dirección, convocatorias, divulgación oferta institucional y Viva Mi Casa)</t>
  </si>
  <si>
    <t>Líderes de Programas
Enlaces Subregionales</t>
  </si>
  <si>
    <t xml:space="preserve">GESTIÓN DE LAS COMUNICACIONES </t>
  </si>
  <si>
    <t>Posibilidad de pérdida reputacional por divulgación de información no veraz  o inoportuna  entre los grupos de interés.</t>
  </si>
  <si>
    <t>Falta de verificación de la información antes de ser publicada.</t>
  </si>
  <si>
    <t>Entrega inexacta de la información por parte de las direcciones.</t>
  </si>
  <si>
    <t>Solicitud de información a las áreas para ejecución de eventos e información a publicar.</t>
  </si>
  <si>
    <t>Profesional Universitario Gestión de las Comunicaciones</t>
  </si>
  <si>
    <t>EJECUCIÓN Y ADMINISTRACIÓN DE PROCESOS</t>
  </si>
  <si>
    <t>Pérdida de posicionamiento de la marca VIVA por falta de gestión comunicacional.</t>
  </si>
  <si>
    <t xml:space="preserve">Divulgación de información en tiempos inadecuados. </t>
  </si>
  <si>
    <t xml:space="preserve"> Falta de incorporación de una cláusula en los convenios o contratos que suscribe VIVA con sus aliados donde se proteja la marca. </t>
  </si>
  <si>
    <t xml:space="preserve">La profesional universitaria incorpora una cláusula en los convenios o contratos que suscribe VIVA con sus aliados donde se proteja la marca. </t>
  </si>
  <si>
    <t>Rol técnico de comunicaciones
Proceso jurídico
Talento Humano</t>
  </si>
  <si>
    <t>ECONÓMICOS</t>
  </si>
  <si>
    <t>Posibilidad de daño jurídico o acción que perjudique a la entidad en temas de uso de imagen y derechos autor.</t>
  </si>
  <si>
    <t>Los profesionales encargados de tomar las fotografías o registros audiovisuales no diligencian los formatos, ni piden la autorización previo al registro cuando se es necesario.</t>
  </si>
  <si>
    <t>Falta de conocimiento por parte de de los funcionarios que realizan registros de cuando se requiere solicitarlos.</t>
  </si>
  <si>
    <t xml:space="preserve">Entre 100 y 500 SMLMV </t>
  </si>
  <si>
    <t xml:space="preserve">Solicitar autorización previa para imágenes y fotografías. Esto para campañas de publicidad y comunicaciones. </t>
  </si>
  <si>
    <t>GESTIÓN DEL TALENTO HUMANO</t>
  </si>
  <si>
    <t>PERSONAL</t>
  </si>
  <si>
    <t>Posibilidad de contratación de personal no idóneo.</t>
  </si>
  <si>
    <t>Incumplimiento de los requisitos para seleccionar personal de acuerdo a las necesidades requeridas descritas en el Manual de Funciones de la Empresa.</t>
  </si>
  <si>
    <t>Desactualización de manual de funciones y/o necesidades específicas de la contratación.</t>
  </si>
  <si>
    <t>Actualización permanente de manual de funciones y del procedimiento selección de personal.</t>
  </si>
  <si>
    <t>Jefe de Talento Humano</t>
  </si>
  <si>
    <t xml:space="preserve">Posibilidad de incumplir con la obligaciòn de la empresa para  la realizaciòn anual de la Evaluaciòn del Desempeño. </t>
  </si>
  <si>
    <t>Falta de personal propio para la tarea.</t>
  </si>
  <si>
    <t>No contar con el presupuesto para la contraración del personal.</t>
  </si>
  <si>
    <t>Reuniones periódicas de seguimiento</t>
  </si>
  <si>
    <t xml:space="preserve">Posibilidad de incumplir la normatividad - Decreto 682  del 2001, donde la Empresa de Vivienda de Antioquia desde su proceso de talento humano debe incluir en su plan de acción anual, el plan de formación y capacitaciones. </t>
  </si>
  <si>
    <t>Seguimiento nulo  de actividades programadas en el plan.</t>
  </si>
  <si>
    <t xml:space="preserve">Poca planeación de un plan de formación  y capacitación.   </t>
  </si>
  <si>
    <t>Planeación, organización y segumiento de la implementación del procedimiento de capacitación.</t>
  </si>
  <si>
    <t>PROCESOS</t>
  </si>
  <si>
    <t>Posibilidad de incumplir con el procedimiento establecido para inducir al personal una vez ingresa a la empresa.</t>
  </si>
  <si>
    <t xml:space="preserve">Poca organización de los recursos, tiempo y espacio.    </t>
  </si>
  <si>
    <t>Poca planeación y ejecución del procedimiento.</t>
  </si>
  <si>
    <t>Planeación y desarrollo efectivo de las jornadas de inducción al personal.</t>
  </si>
  <si>
    <t xml:space="preserve">GESTIÓN DE VIVIENDA Y HÁBITAT </t>
  </si>
  <si>
    <t>Posibilidad de pérdida reputacional debido al incumplimiento en los tiempos establecidos para la entrega de  diagnósticos, formulación y estructuración de proyectos.</t>
  </si>
  <si>
    <t>Materialización de factores externos tales como ambientales, politicos y sociales que impidan el desarrollo de los proyectos o convenios en los tiempos establecidos.</t>
  </si>
  <si>
    <t>No contar con otros medios  para la entrega de  diagnósticos, formulación y estructuración de proyectos.</t>
  </si>
  <si>
    <t>Realizar seguimiento semanales con el uso de matrices y formatos alojados en el Sistema de Gestión de la empresa.</t>
  </si>
  <si>
    <t>Coordinador Gestión de Vivienda y Hábitat</t>
  </si>
  <si>
    <t>Posibilidad de no contar con e cierre financiero de productos y servicios.</t>
  </si>
  <si>
    <t>Entrega de presupuestos desajustados a la realidad del proyecto.</t>
  </si>
  <si>
    <t>No se genera un presupuesto acorde a los topes definidos para la vivienda de interés social.</t>
  </si>
  <si>
    <t>El riesgo afecta la imagen de la entidad a nivel nacional, con efecto publicitarios sostenible a nivel país</t>
  </si>
  <si>
    <t>Implementación de mesas de trabajo para realizar seguimientos al cálculo de cantidades de los estudios técnicos de los proyectos.</t>
  </si>
  <si>
    <t>Posibilidad de incumplimiento en los requisitos establecidos por las autoridades ambientales departamentales y territoriales.</t>
  </si>
  <si>
    <t xml:space="preserve">No realizar seguimiento y control de los requerimientos ambientales vigentes establecidos por las autoridades ambientales </t>
  </si>
  <si>
    <t xml:space="preserve">No gestionar con antelación los permisos ambientales, departamanetales y territoriales desconociendo los tiempos de las autoridades. </t>
  </si>
  <si>
    <t>Implementar las medidas de manejo establecidas dento del sistema de gestión ambiental y sostenibilidad ambiental para evitar el incumplimiento de la normativa.</t>
  </si>
  <si>
    <t>Posibilidad de viabilizar erroneamente un proyecto por determinantes ambientales.</t>
  </si>
  <si>
    <t>El funcionario encargado no realiza la verificación de los determinantes ambientales antes de viabilizar el proceso.</t>
  </si>
  <si>
    <t>No se cuenta con  el requisito de verificar los determinantes ambientales en los procedimientos asociados a la viabilización de lotes.</t>
  </si>
  <si>
    <t>El profesional encargado realiza la verificación de la lista de chequeo que incluye la solicitud de los determinantes ambientales asociados a la viabilización a la autoridad ambiental.</t>
  </si>
  <si>
    <t>Profesional Universitario de Vivienda y Hábitat,
Profesional Universitario Dirección de Planeación.</t>
  </si>
  <si>
    <t>GESTIÓN DE PROYECTOS</t>
  </si>
  <si>
    <t xml:space="preserve">
Posibilidad de afectación en los plazos de ejecución del proyecto en cada una de sus etapas.</t>
  </si>
  <si>
    <t>No cumplimiento de los beneficiarios en la viabilización y cierre financiero.</t>
  </si>
  <si>
    <t>Seguimiento deficiente con los diferentes aliados</t>
  </si>
  <si>
    <t>Realizar el seguimiento con los diferentes aliados</t>
  </si>
  <si>
    <t>Supervisores</t>
  </si>
  <si>
    <t>Demoras en la contratación del operador</t>
  </si>
  <si>
    <t>Poca validación de la documentación.</t>
  </si>
  <si>
    <t xml:space="preserve">Relizar la respectiva validación de la documentación requerida para el proceso de contratación a través del CTE.  </t>
  </si>
  <si>
    <t>Posibles incumplimientos  técnicos y  normativos durante el desarrollo de la obra, no identificados a tiempo, por dificultades en la comunicación con el municipio y los ejecutores (obra e interventoría) debido al alcance de la supervisión en el convenio.</t>
  </si>
  <si>
    <t>Deficiencias técnicas en obras,  sobre las cuales la entidad VIVA en su rol no tiene injerencia directa.</t>
  </si>
  <si>
    <t xml:space="preserve"> Alcance limitado de la supervisión en el desarrollo de los proyectos </t>
  </si>
  <si>
    <t>Seguimiento por medio de visitas a las obras dejando como evidencia el informe de comisión.</t>
  </si>
  <si>
    <t>Posibilidad de retrasos en la ejecución financiera de los convenios, asociados al incumplimiento de alguno de los requisitos establecidos en el convenio para la aprobación del desembolso de los aportes correspondientes de VIVA.</t>
  </si>
  <si>
    <t>Ejecución física de las obras con retrasos que impidan el desembolso de los recursos</t>
  </si>
  <si>
    <t xml:space="preserve">Retrasos en ejecución física de los proyectos y cierre de los mismos, incumplimiento de los tiempos estipulados en los cronogramas establecidos y/o sobre costos en la ejecución de los proyectos </t>
  </si>
  <si>
    <t>Realizar visita para recibos de mejoramientos y validar que los documentos que son requisito para el desembolso estén completos y de acuerdo al check list.</t>
  </si>
  <si>
    <t>Director de Proyectos
Supervisores</t>
  </si>
  <si>
    <t>Posible desfinanciación del proyecto, por cambios en el presupuesto inicialmente establecido durante los tiempos entre la estructuración del cierre financiero y la ejecución del proyecto.</t>
  </si>
  <si>
    <t>Generación de incrementos en los costos de los materiales, los cuales impactan el valor final del mismo.o en el caso de convenios de mejoramientos, en las visitas preliminares a la ejecución pueden identificarse requerimientos preliminares no previstos en el proceso de diagnóstico y estructuración inicial.</t>
  </si>
  <si>
    <t>El tiempo transcurrido entre la estructuración del convenio y la ejecución del mismo es superior al proyectado; No inclusión de la  proyección de incremento de costos de materiales de acuerdo al tiempo de desarrollo del mismo y/o se realizaron cambios sin notificación en los beneficiarios de los mejoramientos durante el tiempo transcurrido entre la estructuración del convenio y la ejecución de las obras.</t>
  </si>
  <si>
    <t>Estipular monitoreo y controles frente a  las proyecciones e incrementos en los costos de los materiales de los proyectos y a su vez, mantener una buena comunicación con los aliados.</t>
  </si>
  <si>
    <t>Posible pérdida de competencia de los convenios interadministrativos y/o contratos por vencimiento de plazos jurídicos establecidos, para generar actas de liquidación, cierre y liberación de recursos (si aplica) debido a pendientes administrativos o técnicos por alguna de las partes.</t>
  </si>
  <si>
    <t xml:space="preserve">Falta de seguimiento a las actividades del  cronograma inicial de los convenios,  afecte el cierre y la liquidación de los mismos, superando el tiempo proyectado. </t>
  </si>
  <si>
    <t xml:space="preserve">Algunos de los requisitos para la liquidación de los convenios dependen de terceros, lo que limita el control de estos tiempos y poco seguimiento a los requerimientos que se le hace a los terceros en el tiempo requerido.  </t>
  </si>
  <si>
    <t>Solicitud de asesoría de la dirección Jurídica para liquidar los convenios y/o contratos que pierden competencia y comunicación períodica con los aliados para la verificación de los pendientes para liquidación.</t>
  </si>
  <si>
    <t xml:space="preserve">ADMINISTRACIÓN BANCO DE MATERIALES </t>
  </si>
  <si>
    <t>Posibilidad de incumplimiento del aliado estratégico frente a los criterios mínimos pactados, relacionados a la calidad esperada, la entrega oportuna y a satisfacción, entrega a las personas autorizadas y en los sitios definidos de los materiales solicitados y a la vigencia de la alianza estrategica.</t>
  </si>
  <si>
    <t>Agentes externos al control del aliado estratégico como: robos, condiciones climáticas adversas,  manifestaciones o alteraciones del orden publico,  accidentes y mala infraestructura en las vías del departamento.</t>
  </si>
  <si>
    <t>Falta de capacidad técnica, operacional y logística del aliado estratégico.</t>
  </si>
  <si>
    <t xml:space="preserve">Adecuada selección de los aliados estratégicos para que cumplan con los criterios de calidad. </t>
  </si>
  <si>
    <t>Profesional Universitario Unidad de Negocios</t>
  </si>
  <si>
    <t>Asegurar que el aliado estratégico cumpla con las garantías o seguros para este tipo de eventos.</t>
  </si>
  <si>
    <t xml:space="preserve">Garantizar desde la supervisión del contrato que los pagos a los aliados se le realicen acorde a las entregas efectuadas. </t>
  </si>
  <si>
    <t>Posibilidad de desviaciones por falta de seguimiento a la ejecución presupuestal y a la vigencia del contrato.</t>
  </si>
  <si>
    <t>Poco control operacional o informes de supervisión lo cual pone en riesgo la trazabilidad del contrato, su avance y actividades.</t>
  </si>
  <si>
    <t xml:space="preserve">Despacho de materiales por fuera de los plazos establecidos y superar el recurso disponible para ello. </t>
  </si>
  <si>
    <t>Informes de supervisión con seguimientos adecuados</t>
  </si>
  <si>
    <t>Posibilidad de insatisfacción del cliente por mal asesoramiento comercial.</t>
  </si>
  <si>
    <t>Si la asesoría comercial proporcionada no se entiende correctamente o se interpreta de manera incorrecta, puede llevar a decisiones equivocadas que puedan afectar negativamente a la organización y cliente final.</t>
  </si>
  <si>
    <t xml:space="preserve">Experiencia inadecuada en la asesoría: La falta de diligencia debida en la asesoría comercial, combinada con la falta de experiencia del asesor, puede exponer a la empresa a riesgos </t>
  </si>
  <si>
    <t>Seguimiento de las asesorías comerciales, cotizaciones, informes de supervisión de contrato y evaluación de ejecución de los contratos.</t>
  </si>
  <si>
    <t>GESTIÓN SOCIOCULTURAL</t>
  </si>
  <si>
    <t xml:space="preserve">Posibilidad de incumplimiento de la programación establecida en el Plan de Gestión Sociocultural para trabajo con los aliados en el territorio. </t>
  </si>
  <si>
    <t>No llevar cabo la totalidad de actividades programasdas en el Plan de Gestión Sociocultural.</t>
  </si>
  <si>
    <t>Sobreponer agenda de la empresa  y dirección sobre la planeación de Gestión Sociocultural</t>
  </si>
  <si>
    <t xml:space="preserve">Socializar el Plan de Gestión Sociocultural  y crear cronograma de trabajo estableciendo responsables de manera conjunta con los aliados. </t>
  </si>
  <si>
    <t>Coordinador (a) Gestión Sociocultural</t>
  </si>
  <si>
    <t>Diseñar e implementar estrategias que permitan que el aliado se incorpore al desarrollo de las actividades del Plan de Gestión Sociocultural.</t>
  </si>
  <si>
    <t>Posibilidad incumplimiento del objetivo del proceso de Gestión Sociocultural por realizar las actividades programadas con personas que no son beneficiarias de los programas y proyectos de vivienda de la empresa.</t>
  </si>
  <si>
    <t>Poca claridad por parte de los aliados en la convocatoria para el desarrollo de las estratégias de la Gestión Sociocultural, así como desconocimiento por parte de los mismos acerca de los requisitos  y criterios de selección que deben cumplir los beneficiarios de los planes, programas y proyectos de la empresa.</t>
  </si>
  <si>
    <t>Convocatorias y focalización no direccionada a la población beneficiaria.</t>
  </si>
  <si>
    <t>Diseño e implementación de estrategias de sensibilización que permitan al aliado comprender la importancia de realizar una convocatoria dirgida a los verdaderos beneficiarios de los programas y proyectos de VIVA, así como que puedan despertar mayor interes en los convocados para la participación en las actividades.</t>
  </si>
  <si>
    <t>GESTIÓN DE TITULACIÓN</t>
  </si>
  <si>
    <t>Afectación reputacional en el retraso de la ejecución del programa de titulacion de la empresa de vivienda de Antioquia-VIVA en los convenios realizados con los municipios y aliados para el cumplimiento de metas  del Plan de Desarrollo Departamental.</t>
  </si>
  <si>
    <t>Cambio en el alcance del  proceso de Titulación, actualizandolo al acompañamiento y asesoramiento a los municipios.</t>
  </si>
  <si>
    <t>Alta dependencia de los municipios u otros  aliados en pro del programa de titulación, en no contar con el personal calificado en la generación de los insumos juridicos, tecnicos y sociales, en el cual el proceso de titulación acompaña y asesora en todos las necesidades especificadas por estos.</t>
  </si>
  <si>
    <t>Activación  de convenios y planes de trabajo en el asesoramiento y acompañamiento con cada uno de los municipios u otros aliados en pro del programa de titulación en los diferentes insumos y requerimientos necesarios para la entrega de títulos. Consolidados de la Matriz de Titulación y Escrituración y entrega de planes de Trabajo cuando se encuentren en ejecución.</t>
  </si>
  <si>
    <t>Jefe de Titulación y Escrituración</t>
  </si>
  <si>
    <t>Asesoria y acompañamiento de los avances de  insumos jurídicos, técnicos y sociales a los municipios, que se veran reflejados en el reporte  de avances en la matriz de Inventario de VIVA reportados cada dos meses a Planeación Estratégica.</t>
  </si>
  <si>
    <t>Afectación reputacional debido al retraso por parte de los beneficiarios en iniciar el proceso de cancelación de levantamiento de hipotecas</t>
  </si>
  <si>
    <t>Alta dependiencia de los beneficiarios que inicien el proceso de cancelación de levantamiento de hipoteca y retrasos en los tiempos competentes del proceso notarial</t>
  </si>
  <si>
    <t>Cofusión en el proceso de la titulación, en la cual la responsabilidad está a cargo de los municipios y el proceso solo apoya en las necesidades específicas que este presente.</t>
  </si>
  <si>
    <t>La profesional universitaria realiza constante revisión y seguimiento de la papelería correspondiente, para dar el aval al beneficiario, y este junto con la notaría realice el proceso compentente para finalizar con la firma desde la Empresa de Vivienda de Antioquia VIVA.</t>
  </si>
  <si>
    <t xml:space="preserve">Profesional Universitaria Gestión de Titulación </t>
  </si>
  <si>
    <t>La profesional universitaria realiza asesoria y acompañamiento en la oportuna respuesta para la gestión del trámite de escrituración. Entrega de insumos necesarios o apoyo a las entidades o beneficiaros con el fin de no generar retrasos. Que son evidenciados por medio de encuestas de atencion al cliente que son consolidadas en la matriz de datos de Atención al Público y deriva el indicador de Atención al Público en este proceso, la entrega de escrituras y la revisión oportuna de la información.</t>
  </si>
  <si>
    <t>ADMINISTRACIÓN FONDO ROTATORIO DE CRÉDITO</t>
  </si>
  <si>
    <t>FRAUDE INTERNO</t>
  </si>
  <si>
    <t>Posibilidad de aprobar y realizar desembolsos de créditos sin cumplir con los requisitos establecidos.</t>
  </si>
  <si>
    <t>Ausencia de seguimiento y herramientas de control para validar la entrega de información por parte de la entidad operadora del fondo rotatorio de crédito .</t>
  </si>
  <si>
    <t xml:space="preserve">Ausencia de capacitación al personal recién vinculado, lo cual lleva al desconocimiento del procedimiento del manejo del fondo rotatorio.                                                                                                                                                                                               
</t>
  </si>
  <si>
    <t>Capacitación al personal nuevo sobre el manejo del proceso con sus respectivos controles para desembolsos.</t>
  </si>
  <si>
    <t>Profesional Universitario  Unidad de negocios</t>
  </si>
  <si>
    <t>Seguimiento através de matriz de control donde se identifica recursos a desembolsar y radicados de entrengra y causación del mismo.</t>
  </si>
  <si>
    <t>Posibilidad de que la organización no logre recuperar los pagos adeudados por los clientes que han recibido créditos, lo que puede llevar a un aumento de la cartera morosa.</t>
  </si>
  <si>
    <t>Incumplimiento de pago por los usuarios de los créditos</t>
  </si>
  <si>
    <t xml:space="preserve"> Poco seguimiento y control a los procesos jurídicos adelantados por las entidades administradoras con la cartera morosa.</t>
  </si>
  <si>
    <t xml:space="preserve">Control desde la supervisión realizando auditorias esporádicas al operador del fondo e informando a la dirección jurídica sobre los procesos judiciales y socializar a los usuarios sobre sus obligaciones de pago.  </t>
  </si>
  <si>
    <t>Posibilidad de disminución de los ingresos debido a la falta de operación del fondo de crédito.</t>
  </si>
  <si>
    <t>Suspensión de las líneas de crédito</t>
  </si>
  <si>
    <t>Cambios en la políticas internas.</t>
  </si>
  <si>
    <t>Supervisión y seguimiento minucioso al recaudo de cartera de la entidad.</t>
  </si>
  <si>
    <t xml:space="preserve">Posibilidad de que la entidad se enfrente a la falta de un operador de servicios para administrar y gestionar la cartera vigente. </t>
  </si>
  <si>
    <t>La entidad puede enfrentar dificultades para seleccionar proveedores que puedan operar el fondo rotatorio de crédito que cumplan con la experiencia idónea para administrar los recuros por recaudo de cartera, y se articulen con la visión de la  organización y la normatividad interno del fondo rotatorio de crédito</t>
  </si>
  <si>
    <t>Poco seguimiento y articulación con proveedores que beneficien el fondo rotatorio de crédito.</t>
  </si>
  <si>
    <t>Adecuado proceso de selección de la entidad operadora de crédito.</t>
  </si>
  <si>
    <t>Posibilidad de que el Comité del Fondo Rotatorio de Crédito de la organización no esté activo o no cumpla con sus funciones de manera adecuada.</t>
  </si>
  <si>
    <t>Rotación frecuente de los miembros del Comité o se produce un cambio significativo en su composición, puede generar demoras en la toma de decisiones y una falta de continuidad en el trabajo del Comité.</t>
  </si>
  <si>
    <t>Falta de liderazgo y compromiso: Si los miembros del Comité no cuentan con un liderazgo sólido o no están comprometidos con sus responsabilidades, es posible que no se realicen las reuniones programadas, las decisiones se posterguen o no se tomen las acciones adecuadas o a tiempo.</t>
  </si>
  <si>
    <t>Seguimiento a las reuniones del comité del fondo rotatorio de crédito y sus responsabilidades.</t>
  </si>
  <si>
    <t xml:space="preserve">GESTIÓN JURIDICA Y CONTRACTUAL </t>
  </si>
  <si>
    <t>Posibilidad de afectación económica por no atender oportunamente dentro de los términos procesales las distintas actuaciones.</t>
  </si>
  <si>
    <t xml:space="preserve">Negligencia en el seguimiento de los diferentes procesos judiciales.            </t>
  </si>
  <si>
    <t>Falta de personal para atender todas las necesidades relativas a los procesos judiciales.</t>
  </si>
  <si>
    <t>Contratar abogados especializados para que asuman el rol de Apoderados Judiciales con la responsabilidad total en el seguimiento y atentción de las actuaciones procesales, derivadas del contrato y el Código Disciplinario del Aboogado</t>
  </si>
  <si>
    <t>Supervisor Designado</t>
  </si>
  <si>
    <t xml:space="preserve"> Realización de una agenda judicial, con las respectivas alertas. Informes de seguimiento.</t>
  </si>
  <si>
    <t>Contar con un apoyo interno para la revisión de procesos judiciales para realizar el seguimiento semanal de los diferentes procesos. Oficio de designación y base de datos interna.</t>
  </si>
  <si>
    <t>Posibilidad de afectaciones económicas por realizar contratación indebida que no cumpla con los requisitos legales.</t>
  </si>
  <si>
    <t>Fallas de comunicación entre los integrantes del CTE.</t>
  </si>
  <si>
    <t xml:space="preserve">Errores en la identificación y definición de la necesidad por parte del área interesada. </t>
  </si>
  <si>
    <t xml:space="preserve">Entre 50 y 100 SMLMV </t>
  </si>
  <si>
    <t>Contar con personal idóneo al  frente de los procesos contractuales. Certificado de Idoneidad emitido en la fase precontractual.</t>
  </si>
  <si>
    <t>Coordinador jurídico</t>
  </si>
  <si>
    <t>Capacitación contínua y obligatoria al CTE sobre los cambios normativos respecto a la contratación. lista de asistencia</t>
  </si>
  <si>
    <t>Reuniones para trabajo de estructuración del proceso por parte del CTE.  Actas de reuniones. Estudio Previo como producto final.</t>
  </si>
  <si>
    <t>ADMINISTRACIÓN DE SEGURIDAD Y SALUD EN EL TRABAJO</t>
  </si>
  <si>
    <t>Polisibilidad de Incumplimiento de la normatividad aplicable en materia  de seguridad y salud en el trabajo.</t>
  </si>
  <si>
    <t>Desconocimiento de la normatividad que se debe aplicar de acuerdo con la razón social y las actividades que se realizan en la Entidad.</t>
  </si>
  <si>
    <t xml:space="preserve">No contar con personal idóneo para la identificación de la normatividad </t>
  </si>
  <si>
    <t>Contar con personal idóneo para el diseño e implementación del SGSST</t>
  </si>
  <si>
    <t>Profesional Universitario Seguridad y Salud en el Trabajo</t>
  </si>
  <si>
    <t>Ausencia de recursos para la implementación de la normatividad aplicable a la entidad.</t>
  </si>
  <si>
    <t>Asignación y seguimiento al presupuesto para el proceso</t>
  </si>
  <si>
    <t>Ausencia de programación para los seguimientos de cumplimiento y actualización normativa</t>
  </si>
  <si>
    <t>Seguimiento al plan de trabajo anual de SGSST en su cumponente normativo</t>
  </si>
  <si>
    <t>Posibilidad de poco seguimiento a los eventos ocurridos por accidentes de trabajo.</t>
  </si>
  <si>
    <t>Ausencia de la ejecución de las acciones dispuestas para el evento ocurrido</t>
  </si>
  <si>
    <t>Ausencia de programación para los seguimientos de los accidentes de trabajo</t>
  </si>
  <si>
    <t>Cumplir con las actividades establecidas en el procedimiento para la investigación de los accidentes de trabajo y la ejecución de sus acciones y realizar plan de trabajo con seguimiento a los accidentes laborales.</t>
  </si>
  <si>
    <t>Posibilidad de identificación deficiente de peligros, evaluación y valoración de los riesgos ocupacionales.</t>
  </si>
  <si>
    <t xml:space="preserve">Desactualización de  los peligros, evaluación y valoración de los riesgos ocupacionales a los que están expuestos los funcionarios de la entidad consignados en la matriz de identificación de peligros, valoración y evaluación de riesgos </t>
  </si>
  <si>
    <t xml:space="preserve">Desconocimiento de peligros y riesgos por falta de identificación </t>
  </si>
  <si>
    <t xml:space="preserve">Seguimiento a la matriz de peligros y riesgos
Inspecciones de seguridad </t>
  </si>
  <si>
    <t>Deficiencia en el  reporte de las condiciones inseguras por parte de los funcionarios</t>
  </si>
  <si>
    <t>Actas de reunión - Entrevistas con funcionarios para la identificación de riegos y peligros</t>
  </si>
  <si>
    <t xml:space="preserve">GESTIÓN FINANCIERA </t>
  </si>
  <si>
    <t>Posibilidad de incumplimiento, extemporaneidad o inconsistencia en la presentación de informes financieros.</t>
  </si>
  <si>
    <t>No cumplir el cronograma para la entrega de informes</t>
  </si>
  <si>
    <t xml:space="preserve"> Inconsistencia en la información financiera por fallas en el software tecnológico vigente (ADA).</t>
  </si>
  <si>
    <t>Cumplir las  fechas establecidas para la entrega de informes y reportes financieros de acuerdo a lo estipulado por la Ley, y realización de seguimiento a su cumplimiento.</t>
  </si>
  <si>
    <t>Coordinador (a)  Financiera</t>
  </si>
  <si>
    <t>Generar tiket cada vez que se detecten fallas en ADA y registrarlo en la base de datos, con la finalidad de hacer seguimiento a la herramienta y por consiguiente al proveedor.</t>
  </si>
  <si>
    <t>Solicitar la publicación de los Estados Financieros al Proceso Gestión de las Comunicaciones y hacer seguimiento a la publicación.</t>
  </si>
  <si>
    <t>Inadecuada gestión la ejecución del presupuesto de la Empresa.</t>
  </si>
  <si>
    <t>Inadecuada gestión del presupuesto de la empresa por afectación de rubros que no corresponden con el objeto del gasto.</t>
  </si>
  <si>
    <t>Planeación inadeuada de los proyectos los cuales son parte fundamental para la proyección y ejecución del presupuesto anual.</t>
  </si>
  <si>
    <t>Solicitar las necesidades económicas con tiempo suficiente a cada proceso de manera que permita una adecuada planeación e inclusión del gasto de forma oportuna.</t>
  </si>
  <si>
    <t>Errores involuntarios en la operación de asignación de rubros y tipos de recursos para la ejecución presupuestal.</t>
  </si>
  <si>
    <t>Verificar que la información relacionada en los CDP y RP  correspondan al objeto del gasto.</t>
  </si>
  <si>
    <t>Desconocimiento de la normatividad aplicable a la empresa.</t>
  </si>
  <si>
    <t>Capacitacitación y evaluación en la normatividad vigente a los funcionarios que requieren conocimiento presupuestal.</t>
  </si>
  <si>
    <t>Posibilidad de  inadecuado pago de las obligaciones adquiridas por la empresa.</t>
  </si>
  <si>
    <t xml:space="preserve">No realizar los pagos de manera oportuna, de realizarlos  con valores diferentes a los liquidados, al tercero equivocado o bien incurrir en el no pago de la obligación. </t>
  </si>
  <si>
    <t>Causar obligaciones sin el  cumplimiento de los requisitos exigidos.</t>
  </si>
  <si>
    <t>Verificar que los documentos soporte cumplan con los requisitos establecidos según el concepto de pago o la obligacipon contractual y que la causación e imputación presupuestal estén correctas.</t>
  </si>
  <si>
    <t>Incumplimiento de las fechas establecidas para los pagos correspondientes.</t>
  </si>
  <si>
    <t xml:space="preserve">Verificar que la periodicidad y el plazo del pago, se cumpla de acuerdo a lo estipulado en cada uno de los contratos </t>
  </si>
  <si>
    <t>Deficiente revisión o desconocimiento de las obligaciones pendientes por pagar de la empresa.</t>
  </si>
  <si>
    <t>Hacer seguimiento a las ordenes de pago generadas en el módulo de presupuesto y recepcionarlas en el módulo de tesorería.</t>
  </si>
  <si>
    <t xml:space="preserve">GESTIÓN DE BIENES Y SERVICIOS </t>
  </si>
  <si>
    <t>Indebida planeación, ejecución y seguimiento al Plan A.nual de Adquisiciones-PAA.</t>
  </si>
  <si>
    <t>Deficiente revisión o desconocimiento de las obligaciones pendientes por pagar de la empresa</t>
  </si>
  <si>
    <t>Debilidad en la planeación de las necesidades por desconocimiento por parte de los procesos</t>
  </si>
  <si>
    <t>Capacitación y/o mesas de trabajo con los procesos, acerca de la importancia de la información suministrada de las necesidades requeridas para la empresa, la cual es consignada en el PAA.</t>
  </si>
  <si>
    <t xml:space="preserve">Personal de Apoyo Bienes y Servicios - Profesional Universitario de bienes y Servicios-Coordinadora </t>
  </si>
  <si>
    <t>Incumpliento en la entrega de información por parte del proceso que requiere el bien o servicio</t>
  </si>
  <si>
    <t>Solicitar oportunamente a los procesos de la empresa las necesidades de bienes y servicios requeridas</t>
  </si>
  <si>
    <t>INFRAESTRUCTURA</t>
  </si>
  <si>
    <t>DAÑOS A ACTIVOS FIJOS/EVENTOS EXTERNOS</t>
  </si>
  <si>
    <t>Posibilidad de inadecuado uso de los bienes de la empresa, indispensables para la ejecución de tareas propias de la entidad.</t>
  </si>
  <si>
    <t>Uso inadecuado de los mismos por parte de los funcionarios y  por la falta de ejecución de un  Plan de Mantenimiento Preventivo y Correctivo.</t>
  </si>
  <si>
    <t>No ejecutar mantenimientos preventivos y correctivos de los bienes de la empresa.</t>
  </si>
  <si>
    <t>Cumplir con la programación de los mantenimientos preventivos y gestionar los mantenimientos correctivos que sean solicitados o detectados.</t>
  </si>
  <si>
    <t>Profesional Univerttario Bienes y Servicios</t>
  </si>
  <si>
    <t>No gestionar oportunamente la corrección de daños y fallas en los bienes, debido al insuficiente reporte por parte de los funcionarios</t>
  </si>
  <si>
    <t>Mediante la Gestión del Cambio, culturizar y capacitar a los funcionarios el reporte  de las fallas o daños en los equipos y bienes, para atender dichas solicitudes con oportunidad</t>
  </si>
  <si>
    <t>Posibilidad de deficiencias en la  gestión y trámite a las solicitud de necesidades requeridas  por los diferentes procesos de la empresa.</t>
  </si>
  <si>
    <t xml:space="preserve">Falta de oportunidad en la ejecución de los procesos de contratación que atienden los requerimientos de la empresa, debido a una inadecuada gestión de las solicitudes. </t>
  </si>
  <si>
    <t>Retrasos por parte del personal encargado en relación a su rol dentro del Comité Tecnico Estructurador - CTE</t>
  </si>
  <si>
    <t>Retroalimentación permanente a través de capacitaciones con el fin de sensibilizar en relación a claridad de roles, procedimiento y necesidades al personal que conforme el CTE.</t>
  </si>
  <si>
    <t>No realizar un adecuado seguimiento a las solicitudes recibidas y a todas las etapas de su gestión para asegurar la oportunidad en la contratación de las mismas</t>
  </si>
  <si>
    <t>Seguimiento a las solicitudes recibidas por parte de los procesos.</t>
  </si>
  <si>
    <t xml:space="preserve">GESTIÓN DOCUMENTAL </t>
  </si>
  <si>
    <t>Posibilidad de inadecuada gestión en la administración, manejo y custodia de los documentos producidos en la empresa.</t>
  </si>
  <si>
    <t>Falta de actualización de procedimientos, errores en la clasificación y almacenamiento de documentos, personal no capacitado.</t>
  </si>
  <si>
    <t>Nombrar incorrectamente los documentos y/o mal manejo y eliminación de información por parte de los funcionarios.</t>
  </si>
  <si>
    <t>Capacitación a los funcionarios en el manejo de las transferencias documentales 
Socialización y seguimiento al cumplimiento del cronograma de transferencias documentales.
Verificación de los documentos transferidos por los diferentes procesos con su respectiva retroalimentación, la cual registrada en el Formato único de inventario documental GDO-FO-05</t>
  </si>
  <si>
    <t>Coordinador CAD / Comunicaciones/GEO</t>
  </si>
  <si>
    <t>Posibiilidad de caida del servicio del funcionamiento del sistema de gestión documental</t>
  </si>
  <si>
    <t xml:space="preserve">Fallas en el fincionamiento de las diversas actividades que se ejecutan dentro del software, como lo son el  cargue, consulta de la información, radicación de documentos, gestion de procesos y demas actividades generando inconsistencias, errores, y falta de disponibildad de la documentación. </t>
  </si>
  <si>
    <t>Incidencias en el funcionamiento de la infraestructura que alberga el software y los archivos, así como fallos en el servicio de internet de la entidad, impactan negativamente en la operatividad del sistema.</t>
  </si>
  <si>
    <t>Validar con el área de Gestión de Información y Tecnología la ejecución efectiva de las Backus de acuerdo a los horarios establecidos.
Solicitar que sea notificado el momento en que se harán actualizaciones al software tecnológico.
Aplicar los acuerdos de niveles de servicio de acuerdo al tipo de tipología.</t>
  </si>
  <si>
    <t>Coordinador CAD
TI</t>
  </si>
  <si>
    <t>Falta de disponibilidad y/o deficiente capacidad de conexión de la red de la empresa que retrasa los procesos de cargue de información o que puede generar errores.</t>
  </si>
  <si>
    <t>Verificación de los documentos transferidos por los diferentes procesos con su respectiva retroalimentación, la cual registrada en el Formato único de inventario documental GDO-FO-05</t>
  </si>
  <si>
    <t>Uso inadecuado de los recursos tecnológicos (correo, internet, aplicaciones, entre otras) por parte de los funcionarios del proceso que puede vulnerar la documentación de la empresa  y da lugar a posibles ataques cibernéticos.</t>
  </si>
  <si>
    <t>Culturizar a los funcionarios sobre el uso adecuado de las herramientas tecnológicas, informándoles sobre los tips que socializa T.I a través de Comunicaciones.</t>
  </si>
  <si>
    <t>Posibilidad de malas practicas en la administración y custodia de los documentos por parte del proveedor externo.</t>
  </si>
  <si>
    <t>Incumplimiento de los acuerdos de niveles de servicio acordados referente a  la pérdida y mal uso de la documentación trasladada y almacenada fuera de las instalaciones de VIVA.</t>
  </si>
  <si>
    <t>Proveedor no cuenta con personal capacitado, ausencia de auditorías y supervisión regular, contratos mal definidos o sin cláusulas de cumplimiento específicas.</t>
  </si>
  <si>
    <t>Visita a las instalaciones del proveedor externo para asegurar el buen almacenamiento de la información y dejarlo consignado en un acta.</t>
  </si>
  <si>
    <t>Coordinador CAD</t>
  </si>
  <si>
    <t xml:space="preserve">CONTROL INTERNO DISCIPLINARIO </t>
  </si>
  <si>
    <t>Posibilidad de no evacuar los procesos dentro de los términos y/o plazos establecidos en el código general disciplinario.</t>
  </si>
  <si>
    <t>Multiplicidad de funciones de las personas delegadas para el proceso, que impide u origina no estar pendiente a los términos procesales.</t>
  </si>
  <si>
    <t>No contar con el servidor y/o funcionario delegado de manera permanente para dicho proceso.</t>
  </si>
  <si>
    <t>Revisión y seguimiento permanente a los plazos o términos de los distintos procesos en curso.</t>
  </si>
  <si>
    <t>Profesional Universitario gestión Jurídica</t>
  </si>
  <si>
    <t xml:space="preserve">GESTIÓN DE INFORMACIÓN Y TECNOLOGÍA </t>
  </si>
  <si>
    <t>FALLAS TECNOLÓGICAS</t>
  </si>
  <si>
    <t>Posibilidad de retraso en la ejecución de las actividades laborales de los funcionarios, por suspensión o falta de disponibilidad de los servicios tecnológicos del Proceso de TI.</t>
  </si>
  <si>
    <t>Suspensión y no disponibilidad de los servicios tecnológicos que son indispendables para la ejecución de las actividades de la empresa, tales como: Impresión, internet, almacenamiento, gestión documental (Mercurio), Xenco, dominio, control de acceso, antivirus, copias de seguridad, ERP (Sicof), correo y herramientas colaborativas (Office 365), red LAN, red inalámbrica; debido a fallas físicas, desconfiguraciones, desactualizaciones y pérdida de elementos por ausencia de controles y mantenimientos programados (Lógico, físico).</t>
  </si>
  <si>
    <t>Desactualización de Firmware, parches de SO y software de los equipos y desconfiguración de los equipos.</t>
  </si>
  <si>
    <t xml:space="preserve">Actualización del Firmware, parches de Sistema Operativo y software de los equipos </t>
  </si>
  <si>
    <t>Profesional Univertitario TI</t>
  </si>
  <si>
    <t>Insuficiente mantenimiento preventivo de equipos y componentes.</t>
  </si>
  <si>
    <t xml:space="preserve">Programación y ejecución de mantenimientos preventivos y/o correctivos </t>
  </si>
  <si>
    <t>Daños físicos y/o lógicos en servidores y equipos, switches, firewall, controladora Wifi y obsolescencia de equipos tecnológicos.</t>
  </si>
  <si>
    <t xml:space="preserve">Renovación de equipos de infraestructura (Caso servidor DELL R540, Firewall Meraki MX84, Access point, Impresoras) en los casos de obsolecencia tecnológica o fallas que impliquen compra de nuevos equipos </t>
  </si>
  <si>
    <t>Fallas en los servicios de canales de comunicaciones y aplicaciones prestados por terceros.</t>
  </si>
  <si>
    <t>Gestionar soluciones y disponibilidad con proveedores de servicios en los casos en que se presenten fallas.</t>
  </si>
  <si>
    <t>Posibilidad de pérdida de los activos de información de la empresa debido a la ausencia de respaldos y restauraciones.</t>
  </si>
  <si>
    <t>Inadecuado respaldo y restauración de los activos de información de la Empresa, debido a la falta de ejecución de actividades indispensables a nivel del Proceso y/o de un Sistema Especializado de Backups y restauraciones que permitan su aseguramiento</t>
  </si>
  <si>
    <t>Desconocimiento sobre el valor de los activos de información y la importancia de identificar y salvaguardar dichos activos.</t>
  </si>
  <si>
    <t>Aprobación, aplicación y divulgación de la Política de Seguridad y Privacidad de la Información.</t>
  </si>
  <si>
    <t>Profesional Universitario TI</t>
  </si>
  <si>
    <t>No tener copias de seguridad de los activos de información.</t>
  </si>
  <si>
    <t>Copias de la información de los equipos de los funcionarios a través de la herramienta OneDrive - 
Realización de respaldo de información cuando los Directivos y/o Coordinadores lo solicitan.</t>
  </si>
  <si>
    <t>Posibilidad de vulnerar la seguridad de la información.</t>
  </si>
  <si>
    <t>Falta de infraestructura, herramientas, políticas y procedimientos adecuados; debido a que no se ejecutan los controles necesarios y se desconocen las políticas de seguridad de la información.</t>
  </si>
  <si>
    <t>Falta de conocimiento del la Políticas de Seguridad y Privacidad de la Información de la empresa.</t>
  </si>
  <si>
    <t>Divulgación de la Política de Seguridad y Privacidad de la Información a los funcionarios de la empresa a través de Comunicaciones</t>
  </si>
  <si>
    <t>Integrantes que conforman el proceso de TI</t>
  </si>
  <si>
    <t>No contar la herramientas de Antivirus y un protocolo para la gestión de alertas, eventos e incidentes de seguridad.</t>
  </si>
  <si>
    <t>Controles, actualizaciones y monitoreos de la consola antivirus y Firewall, para bloquear ataques identificados a la Empresa de Vivienda de Antioquia.</t>
  </si>
  <si>
    <t xml:space="preserve">Falta de control y mantenimientos programados (Lógicos, físicos).
Desconfiguraciones del sitio web, Error humano
</t>
  </si>
  <si>
    <t>Realización de los mantenimientos programados a los equipos.</t>
  </si>
  <si>
    <t>Posibilidad de pérdida información de la  página web de la entidad.</t>
  </si>
  <si>
    <t xml:space="preserve">Fallas técnicas de infraestructura o manejo inadecuado de la información </t>
  </si>
  <si>
    <t>Fallas en el servidor Hosting</t>
  </si>
  <si>
    <t>Seguimiento a los controles de Backups y Restauraciones del servicio Hosting con el proveedor TIGO-UNE.</t>
  </si>
  <si>
    <t>Desconfiguraciones del sitio web, Error humano</t>
  </si>
  <si>
    <t xml:space="preserve">Realización de backups propios en la entidad. </t>
  </si>
  <si>
    <t xml:space="preserve">EVALUACIÓN INDEPENDIENTE </t>
  </si>
  <si>
    <t>POLÍTICOS</t>
  </si>
  <si>
    <t>Posibilidad de sanción disciplinaria por los entes de control debido al incumplimiento de las actividades establecidas  en el Plan Anual de Auditorías.</t>
  </si>
  <si>
    <t xml:space="preserve">Incumplimiento de las actividades establecidas en el Plan Anual de Auditorías, las cuales están enmarcadas en los roles que deben cumplir las oficinas de control interno (Liderazgo Estratégico,  Enfoque a la prevención, Evaluación a la Gestión de Riesgos,  Relación Entes Externos y desde el rol de Evaluación y Seguimiento); la elaboración y publicación extemporánea  de informes internos y externos (de Ley) a cargo de la Dirección de Control Interno; ejecución de auditorías internas de Gestión y la ausencia de seguimientos a los planes de mejoramiento suscritos por la entidad o los procesos, ya sea proveniente de auditorías externas, auditorías internas de gestión, seguimientos u otras evaluaciones. </t>
  </si>
  <si>
    <t xml:space="preserve">Ausencia de compromiso institucional (Alta Dirección, Líderes, Funcionarios…) para asignar presupuesto a las actividades programadas por la Dirección de Control Interno; asi como los recursos humanos y tecnológicos requeridos para las evaluaciones, seguimientos y auditorías internas y de gestión.                    </t>
  </si>
  <si>
    <t>El Director de Control Interno con el apoyo del equipo de trabajo diseña campañas de concientización de la labor que realiza la Dirección de Control Interno.</t>
  </si>
  <si>
    <t>Director de Control Interno</t>
  </si>
  <si>
    <t>Demora en la aprobación del Plan Anual de Auditoría por parte del Comité Institucional de Coordinación de Control Interno.</t>
  </si>
  <si>
    <t xml:space="preserve">El Director de Control Interno convoca a Comité Primario en el mes de noviembre de cada vigencia para elaborar la propuesta del Plan Anual de Auditoría de la siguiente vigencia y convoca a través de correo electrónico al CICCI para la presentación y aprobación del Plan. </t>
  </si>
  <si>
    <t>Deficiencia en la priorización de las auditorías, seguimientos y de los informes de Ley.</t>
  </si>
  <si>
    <t xml:space="preserve">El Director de Control Interno convoca a Comité Primario en el mes de noviembre de cada vigencia para elaborar la propuesta del Plan Anual de Auditoría de la siguiente vigencia. </t>
  </si>
  <si>
    <t>Pérdida de la información recopilada para la elaboración de los informes.</t>
  </si>
  <si>
    <t>El Director de Control Interno o quien este delegue, almacena la información recopilada por los responsables de los informes en el repositorio del onedrive.</t>
  </si>
  <si>
    <t>Posibilidad de: Inducir a errores a la Alta Dirección en la toma de decisiones debido a imprecisión en los informes de auditorías y seguimientos  emitidos por la Dirección de Control Interno.</t>
  </si>
  <si>
    <t xml:space="preserve"> Errores en la toma de decisiones debido a la imprecisión en los informes emitidos por la Dirección de Control Interno a razón de insuficientes entregas de evidencia por parte del proceso auditado; la redacción de hallazgos sin la descripción de la evidencia y criterios suficientes y por inconsistencia entre las conclusiones y el objetivo establecido.</t>
  </si>
  <si>
    <t>Desconocimiento de los auditores en los temas a auditar, en la forma como operan los procesos y la falta de competencias y destrezas para ejecutar las auditorías y seguimientos.</t>
  </si>
  <si>
    <t>El Director de Control Interno hace revisión de los preinformes e informes finales presentados por los auditores internos como resultado de las auditorías de gestión, frente a los criterios establecidos durante el proceso de planeación de la auditoría, para las auditorías de calidad será el Director de Control Interno o quien éste delegue y los informes de seguimiento son revisados y aprobados por el Director de Control Interno.</t>
  </si>
  <si>
    <t xml:space="preserve">Desconocimiento de los auditores en las normas vigentes aplicables al proceso auditado         </t>
  </si>
  <si>
    <t>El líder del programa de auditoría selecciona el auditor líder y el equipo auditor que lo acompañará, teniendo en cuenta, la experiencia, formación y competencia y para las auditorías de gestión el Director de Control Interno realiza acompañamiento y delega profesionales de apoyo de acuerdo con su perfil y experiencia.</t>
  </si>
  <si>
    <t>Falta de evidencias suficientes que respalden los resultados de las auditorías y seguimientos.</t>
  </si>
  <si>
    <t>Tiempo insuficiente para desarrollar el programa de auditoría o para realizar una auditoría.</t>
  </si>
  <si>
    <t>El Director de Control Interno en las lecciones aprendidas del programa de auditorías internas, implementar las acciones identificadas para la mejora.</t>
  </si>
  <si>
    <t>Canales de comunicación internos ineficaces durante las etapas del programa de auditoría interna de calidad.</t>
  </si>
  <si>
    <t>Notificar el programa de auditoría interna de calidad a los líderes de procesos y a los auditores internos de calidad.
Informar por parte de los equipos de auditores y auditados si se presenta incompativilidad en las fechas para realizar las auditorías, con la finalidad de coordinar nuevas fechas.
Realizar reunión de apertura y reunión de cierre en cada auditoría interna.</t>
  </si>
  <si>
    <t>CONTEXTO ORGANIZACIONAL</t>
  </si>
  <si>
    <t xml:space="preserve">Posibilidad de que el personal integrante de la Alta Dirección que desconozca la realidad de la empresa </t>
  </si>
  <si>
    <t>Al realizar  cambios de Gobierno y equipo directivo, no se tener en cuenta las cuestiones internas y externas identificadas en el analisis de contexto y que pueda afectar el desempeño de la entidad.</t>
  </si>
  <si>
    <t>Nombramiento de integrantes de la Alta Dirección no capacitados para desempeñar el cargo</t>
  </si>
  <si>
    <t>Manual de funciones con perfiles de cargos actualizado acode a las necesidades de VIVA</t>
  </si>
  <si>
    <t>Posibilidad de que un equipo directivo que desconoce el direccionamiento estratégico de VIVA</t>
  </si>
  <si>
    <t>Toma de decisiones no coherentes con el analisis de contexto organizacional de VIVA</t>
  </si>
  <si>
    <t>Desconocimiento por parte de la alta dirección de las debilidades, amenazas, fortalezas y oportunidades que afectan el desempeño de la empresa.</t>
  </si>
  <si>
    <t>Socialización a los directivos sobre el direccionamiento estratégico de VIVA y contexto de la organización</t>
  </si>
  <si>
    <t>Dirección de Planeación
Talento Humano
Gestión Organizacional</t>
  </si>
  <si>
    <t xml:space="preserve">Posibilidad de no definir metas de acuerdo con la capacidad instalada de la empresa </t>
  </si>
  <si>
    <t xml:space="preserve">No establecer estrategias que maximicen las oportunidades de mejora o minimicen las amenzas de la empresa </t>
  </si>
  <si>
    <t>No considerar cuestiones ligadas a los valores, la cultura, los conocimientos y el desempeño de VIVA.</t>
  </si>
  <si>
    <t>Acuerdos de gestión con los miebros de la Alta Dirección en donde se asumen cpromisos con los objetivos institucionales de VIVA</t>
  </si>
  <si>
    <t xml:space="preserve">Talento Humano
Gerencia </t>
  </si>
  <si>
    <t xml:space="preserve">GRUPO DE VALOR </t>
  </si>
  <si>
    <t>Posibilidad de incumlimiento con los requisitos de las partes interesadas en los productos y servicios ofrecidos.</t>
  </si>
  <si>
    <t xml:space="preserve">Incumplimiento en la formulación, estructuración, diseño, ejecución y/o ejecución de proyectos de vivienda nueva, social en los territorios urbanos y rurales </t>
  </si>
  <si>
    <t>No identificar claramente las necesidades y expectativas de la población que integra las partes interesadas y/o grupo de valor de VIVA.</t>
  </si>
  <si>
    <t xml:space="preserve">Medición semestral a la satisfacción de las partes interesadas </t>
  </si>
  <si>
    <t>Comunicaciones
Dirección de Planeación
Gestión Organizacional</t>
  </si>
  <si>
    <t xml:space="preserve">Posibilidad de incumplimiento de la normatividad aplicable al manejo de los recursos. </t>
  </si>
  <si>
    <t xml:space="preserve">Incumplimiento en la ejecución y/o cofinaciación de proyectos de mejoramiento de vienda nueva urbana y/o rural 
Inadecuada asesoria legal a las administraciones municipales para la legalización de predios </t>
  </si>
  <si>
    <t>No disponer de los recursos suficientes para garantizar el cumplimiento en los proyectos o programas que VIVA ofrece a las entidades cofinaciadoras y familias beneficiarias.</t>
  </si>
  <si>
    <t>Capacitación a las personas involucradas en la operación de VIVA sobre los impactos de no cumplir con la normatividad aplicable</t>
  </si>
  <si>
    <t xml:space="preserve">Talento Humano
Dirección Juridica </t>
  </si>
  <si>
    <t>Perdida de credibilidad ante la comunidad beneficiaria.</t>
  </si>
  <si>
    <t>Comunidad beneficiaria de los servicios y/o productos que VIVA ofrece y que se vea afectada por posibles incumplimiento</t>
  </si>
  <si>
    <t xml:space="preserve">Promesas de valor sobre cumplimiento de necesidades y/o expectativas que no se puedan cumplir o que no esten bajo la gobernanza de la entidad </t>
  </si>
  <si>
    <t xml:space="preserve">Seguimiento semestral a las necesidades y expectativas identificadas en la población grupo de valor de VIVA </t>
  </si>
  <si>
    <t>FACTORES EXTERNOS</t>
  </si>
  <si>
    <t>FACTORES INTERNOS</t>
  </si>
  <si>
    <r>
      <rPr>
        <b/>
        <sz val="11"/>
        <color rgb="FF000080"/>
        <rFont val="Arial"/>
        <family val="2"/>
      </rPr>
      <t>Económicos:</t>
    </r>
    <r>
      <rPr>
        <sz val="11"/>
        <color rgb="FF000000"/>
        <rFont val="Arial"/>
        <family val="2"/>
      </rPr>
      <t xml:space="preserve"> disponibilidad de capital, emisión de deuda o no pago de la misma, liquidez, mercados financieros, desempleo, competencia.</t>
    </r>
  </si>
  <si>
    <r>
      <rPr>
        <b/>
        <sz val="11"/>
        <color rgb="FF000080"/>
        <rFont val="Arial"/>
        <family val="2"/>
      </rPr>
      <t>Infraestructura:</t>
    </r>
    <r>
      <rPr>
        <sz val="11"/>
        <color rgb="FF000000"/>
        <rFont val="Arial"/>
        <family val="2"/>
      </rPr>
      <t xml:space="preserve"> disponibilidad de activos, capacidad de los activos, acceso al capital.</t>
    </r>
  </si>
  <si>
    <r>
      <rPr>
        <b/>
        <sz val="11"/>
        <color rgb="FF000080"/>
        <rFont val="Arial"/>
        <family val="2"/>
      </rPr>
      <t>Medioambientales</t>
    </r>
    <r>
      <rPr>
        <sz val="11"/>
        <color rgb="FF000080"/>
        <rFont val="Arial"/>
        <family val="2"/>
      </rPr>
      <t>:</t>
    </r>
    <r>
      <rPr>
        <sz val="11"/>
        <color rgb="FF000000"/>
        <rFont val="Arial"/>
        <family val="2"/>
      </rPr>
      <t xml:space="preserve"> emisiones y residuos, energía, catástrofes naturales, desarrollo sostenible.</t>
    </r>
  </si>
  <si>
    <r>
      <rPr>
        <b/>
        <sz val="11"/>
        <color rgb="FF000080"/>
        <rFont val="Arial"/>
        <family val="2"/>
      </rPr>
      <t>Personal:</t>
    </r>
    <r>
      <rPr>
        <b/>
        <sz val="11"/>
        <color rgb="FF000000"/>
        <rFont val="Arial"/>
        <family val="2"/>
      </rPr>
      <t xml:space="preserve"> </t>
    </r>
    <r>
      <rPr>
        <sz val="11"/>
        <color rgb="FF000000"/>
        <rFont val="Arial"/>
        <family val="2"/>
      </rPr>
      <t>capacidad del personal, salud, seguridad.</t>
    </r>
  </si>
  <si>
    <r>
      <rPr>
        <b/>
        <sz val="11"/>
        <color rgb="FF000080"/>
        <rFont val="Arial"/>
        <family val="2"/>
      </rPr>
      <t>Políticos:</t>
    </r>
    <r>
      <rPr>
        <sz val="11"/>
        <color rgb="FF000000"/>
        <rFont val="Arial"/>
        <family val="2"/>
      </rPr>
      <t xml:space="preserve"> cambios de gobierno, legislación, políticas públicas, regulación.</t>
    </r>
  </si>
  <si>
    <r>
      <rPr>
        <b/>
        <sz val="11"/>
        <color rgb="FF000080"/>
        <rFont val="Arial"/>
        <family val="2"/>
      </rPr>
      <t>Procesos:</t>
    </r>
    <r>
      <rPr>
        <sz val="11"/>
        <color rgb="FF000000"/>
        <rFont val="Arial"/>
        <family val="2"/>
      </rPr>
      <t xml:space="preserve"> capacidad, diseño, ejecución, proveedores, entradas, salidas, conocimiento.</t>
    </r>
  </si>
  <si>
    <r>
      <rPr>
        <b/>
        <sz val="11"/>
        <color rgb="FF000080"/>
        <rFont val="Arial"/>
        <family val="2"/>
      </rPr>
      <t>Sociales:</t>
    </r>
    <r>
      <rPr>
        <sz val="11"/>
        <color rgb="FF000000"/>
        <rFont val="Arial"/>
        <family val="2"/>
      </rPr>
      <t xml:space="preserve"> demografía, responsabilidad social, terrorismo.</t>
    </r>
  </si>
  <si>
    <r>
      <rPr>
        <b/>
        <sz val="11"/>
        <color rgb="FF000080"/>
        <rFont val="Arial"/>
        <family val="2"/>
      </rPr>
      <t>Tecnología:</t>
    </r>
    <r>
      <rPr>
        <sz val="11"/>
        <color rgb="FF000080"/>
        <rFont val="Arial"/>
        <family val="2"/>
      </rPr>
      <t xml:space="preserve"> </t>
    </r>
    <r>
      <rPr>
        <sz val="11"/>
        <color rgb="FF000000"/>
        <rFont val="Arial"/>
        <family val="2"/>
      </rPr>
      <t>integridad de datos datos, disponibilidad de datos y sistemas, desarrollo, producción, mantenimiento.</t>
    </r>
  </si>
  <si>
    <r>
      <rPr>
        <b/>
        <sz val="11"/>
        <color rgb="FF000080"/>
        <rFont val="Arial"/>
        <family val="2"/>
      </rPr>
      <t>Tecnológicos:</t>
    </r>
    <r>
      <rPr>
        <sz val="11"/>
        <color rgb="FF000000"/>
        <rFont val="Arial"/>
        <family val="2"/>
      </rPr>
      <t xml:space="preserve"> interrupciones, comercio desarrollo, producción, mantenimiento electrónico, datos externos, tecnología emergente.</t>
    </r>
  </si>
  <si>
    <r>
      <t xml:space="preserve">Reputacionales: </t>
    </r>
    <r>
      <rPr>
        <sz val="11"/>
        <rFont val="Arial"/>
        <family val="2"/>
      </rPr>
      <t>Cualquier evento o circunstancia externa que podría dañar la reputación de una organización pública. Esto puede incluir la percepción pública negativa, críticas de los medios de comunicación, protestas sociales, fallas en el cumplimiento de normas éticas, y cualquier otro evento que pueda afectar cómo la entidad es vista por el público, partes interesadas, y otros organismos.</t>
    </r>
  </si>
  <si>
    <r>
      <rPr>
        <b/>
        <sz val="16"/>
        <color theme="1"/>
        <rFont val="Calibri"/>
        <family val="2"/>
      </rPr>
      <t xml:space="preserve">CLASIFICACIÓN DEL RIESGO 
</t>
    </r>
    <r>
      <rPr>
        <b/>
        <sz val="12"/>
        <color rgb="FF000000"/>
        <rFont val="Calibri"/>
        <family val="2"/>
      </rPr>
      <t>( Muestra las clases de riesgos que se pueden presentar)</t>
    </r>
  </si>
  <si>
    <t>Pérdidas derivadas de errores en la ejecución y administración de procesos</t>
  </si>
  <si>
    <t>FRAUDE EXTERNO</t>
  </si>
  <si>
    <t>Pérdida derivada de actos de fraude por personas ajenas a la organización (no participa personal de la entidad).</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</si>
  <si>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</si>
  <si>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Errores en hardware, software, telecomunicaciones, interrupción de servicios básicos.</t>
  </si>
  <si>
    <t>RELACIONES LABORALES</t>
  </si>
  <si>
    <t xml:space="preserve">Pérdidas que surgen de acciones contrarias a las leyes o acuerdos de empleo,  salud o seguridad, del pago de demandas por daños personales o de discriminación. </t>
  </si>
  <si>
    <t xml:space="preserve">Fallas negligentes o involuntarias de las obligaciones frente a los usuarios y que impiden satisfacer una obligación profesional frente a éstos. </t>
  </si>
  <si>
    <t xml:space="preserve">Pérdida por daños o extravíos de los activos fijos por desastres naturales u otros riesgos/eventos externos como atentados, vandalismo, orden público. </t>
  </si>
  <si>
    <t xml:space="preserve">TABLA DE PROBABILIDAD </t>
  </si>
  <si>
    <t>NIVEL</t>
  </si>
  <si>
    <t>FRECUENCIA DE LA ACTIVIDAD</t>
  </si>
  <si>
    <t>PROBABILIDAD</t>
  </si>
  <si>
    <t>Muy baja</t>
  </si>
  <si>
    <t>La actividad que conlleva el riesgo se ejecuta como máximo 2 veces por año</t>
  </si>
  <si>
    <t>Baja</t>
  </si>
  <si>
    <t xml:space="preserve"> 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</si>
  <si>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</si>
  <si>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</si>
  <si>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</si>
  <si>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</si>
  <si>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</si>
  <si>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 xml:space="preserve"> La actividad que conlleva el riesgo se ejecuta más de 5000 veces por año.</t>
  </si>
  <si>
    <t>TABLA CRITERIOS PARA DEFINIR EL NIVEL DE IMPACTO</t>
  </si>
  <si>
    <t>Afectación Económica (o presupuestal)</t>
  </si>
  <si>
    <t>Pérdida Reputacional</t>
  </si>
  <si>
    <t>Leve 20%</t>
  </si>
  <si>
    <t xml:space="preserve">Afectación menor a 10 SMLMV </t>
  </si>
  <si>
    <t xml:space="preserve">Menor-40% </t>
  </si>
  <si>
    <t xml:space="preserve">Entre 10 y 50 SMLMV </t>
  </si>
  <si>
    <t>Moderado 60%</t>
  </si>
  <si>
    <t>Mayor 80%</t>
  </si>
  <si>
    <t>Catastrófico 100%</t>
  </si>
  <si>
    <t xml:space="preserve">Mayor a 500 SMLMV </t>
  </si>
  <si>
    <t>Matriz de Calor Inherente</t>
  </si>
  <si>
    <t>Impacto</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</si>
  <si>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</si>
  <si>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</si>
  <si>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</si>
  <si>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</si>
  <si>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</si>
  <si>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</si>
  <si>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</si>
  <si>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</si>
  <si>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</si>
  <si>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</si>
  <si>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</si>
  <si>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</si>
  <si>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</si>
  <si>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</si>
  <si>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</si>
  <si>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</si>
  <si>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Atributos de para el diseño del control</t>
  </si>
  <si>
    <t>Características</t>
  </si>
  <si>
    <t>Descripción</t>
  </si>
  <si>
    <t>Peso</t>
  </si>
  <si>
    <t>Atributos de Eficiencia</t>
  </si>
  <si>
    <t>Tipo</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</si>
  <si>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</si>
  <si>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</si>
  <si>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</si>
  <si>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</si>
  <si>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</si>
  <si>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</si>
  <si>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</si>
  <si>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</si>
  <si>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</si>
  <si>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</si>
  <si>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</si>
  <si>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</si>
  <si>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Documentación</t>
  </si>
  <si>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</si>
  <si>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</si>
  <si>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</si>
  <si>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</si>
  <si>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</si>
  <si>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Frecuencia</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</si>
  <si>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</si>
  <si>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</si>
  <si>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</si>
  <si>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</si>
  <si>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Evidencia</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</si>
  <si>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</si>
  <si>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</si>
  <si>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</si>
  <si>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</si>
  <si>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</si>
  <si>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NOMBRE DEL PROCESO</t>
  </si>
  <si>
    <t>CRITERIOS</t>
  </si>
  <si>
    <t>SUBCRITERIOS</t>
  </si>
  <si>
    <t>TIPO DE CONTROL</t>
  </si>
  <si>
    <t>Establecer, implementar, mantener y mejorar el Sistema de Gestión con el propósito de fortalecer la mejora del desempeño de los procesos que permita responder al cumplimiento de los objetivos de la entidad y el cumplimiento de los requisitos legales, las necesidades y expectativas de los grupos de valor.</t>
  </si>
  <si>
    <t>Afectación Económica o presupuestal</t>
  </si>
  <si>
    <t>Afectación menor a 10 SMLMV .</t>
  </si>
  <si>
    <t>Registro</t>
  </si>
  <si>
    <t>Aceptar</t>
  </si>
  <si>
    <t xml:space="preserve">En proceso </t>
  </si>
  <si>
    <t>Direccionar, orientar y articular los procesos organizacionales a traves de estrategias, metodologías e instrumentos que promueven y aseguran el mejoramiento continuo de la gestión y el cumplimiento de las metas institucionales.</t>
  </si>
  <si>
    <t>MEDIOAMBIENTALES</t>
  </si>
  <si>
    <t>Automática</t>
  </si>
  <si>
    <t>No requiere documentación</t>
  </si>
  <si>
    <t>Sin registro</t>
  </si>
  <si>
    <t>Evitar</t>
  </si>
  <si>
    <t>Finalizado</t>
  </si>
  <si>
    <t>Planear, organizar, ejecutar y controlar las acciones que promuevan la gestión del talento humano en términos de la arquitectura organizacional, selección de personal, su capacitación, evaluación, reconocimiento de obligaciones salariales y prestacionales. Igualmente, promover y  mantener las condiciones de cultura organizacional, bienestar y calidad de vida,  logrando el cumplimiento de las estrategias y metas definidas por la empresa, asegurando un buen clima laboral  y  condiciones seguras de trabajo.  </t>
  </si>
  <si>
    <t>Reducir (compartir)</t>
  </si>
  <si>
    <t>Liderar y gestionar la estrategia de comunicaciones y relaciones públicas de VIVA, con sus públicos de interés,  para reposicionar a la entidad como la empresa de vivienda de los antioqueños, contribuyendo a mejorar la satisfacción del ciudadano con una adecuada atención, a través de información efectiva con alianzas estratégicas, soportadas en la empatía, el rigor técnico y las capacidades individuales y colectivas.</t>
  </si>
  <si>
    <t>Reducir (mitigar)</t>
  </si>
  <si>
    <t>Diagnosticar, estructurar, formular, asesorar y acompañar los proyectos de Vivienda y Hábitat de la Empresa de Vivienda de Antioquia-VIVA, aplicando aprendizajes adquiridos mediante diversas herramientas de investigación  velando así por la innovación, la sostenibilidad, la gestión socio cultural y la integración de los proyectos en los territorios y las comunidades, para el cumplimiento de la misión de la Entidad respondiendo a los ODS.</t>
  </si>
  <si>
    <t>TECNOLÓGICOS</t>
  </si>
  <si>
    <t xml:space="preserve">Ejecutar y supervisar proyectos gestionados por la Empresa de Vivienda de Antioquia - VIVA con entidades públicas y privadas mediante control y seguimiento de los procesos y actividades derivados del ejercicio contractual de los contratos y/o convenidos celebrados por la entidad.
</t>
  </si>
  <si>
    <t>Promover y gestionar el suministro y entrega de materiales, maquinaria, equipos, herramientas, elementos de construcción y soluciones  integrales a través de la red de Aliados Estratégicos, para las entidades públicas y sin ánimo de lucro del orden local, departamental y nacional que se enfoquen en el desarrollo de proyectos de vivienda, mejoramientos de vivienda e infraestructura pública vinculados a los Planes de Desarrollo Municipales, Departamentales y Nacionales, así como los proyectos que desarrolla la Empresa de Vivienda de Antioquia VIVA.</t>
  </si>
  <si>
    <t>Acompañar a través de estrategias socioculturales a los entes territoriales del Departamento, a las familias antioqueñas beneficiarias de los proyectos en los que participa la Empresa de Vivienda de Antioquia –VIVA-, promoviendo el empoderamiento de las comunidades, la participación y el desarrollo de capacidades para lograr viviendas dignas, sostenibles y el mejoramiento de la calidad de vida.</t>
  </si>
  <si>
    <t>Asesorar y acompañar a los municipios y las dependencias de la organización en la gestión de titulación, legalización de predios, estudio de titulo para mejoramientos de vivienda, escrituración de vivienda nueva y crédito rotatorio de vivienda, y el saneamiento predial.</t>
  </si>
  <si>
    <t>Facilitar el mecanismo financiero y recurso para la compra de vivienda nueva, construcción en sitio propio, en proyectos de vivienda social, mejoramiento de vivienda y sustitución de deuda, dirigido a familias de bajos recursos en el Departamento de Antioquia, cuyos ingresos no superen cuatro (4) SMMLV.</t>
  </si>
  <si>
    <t>Garantizar que las actuaciones jurídicas y contractuales se realicen de acuerdo a la normatividad vigente y aplicable a cada caso, evitando de esta manera el daño antijurídico y la materialización de riesgos, mediante actuaciones preventivas, el estudio riguroso de cada necesidad de VIVA.</t>
  </si>
  <si>
    <t>Diseñar y administrar el Sistema de gestión de seguridad y salud en el trabajo de la Empresa de Vivienda de Antioquia, mediante la ejecución de estrategias y métodos que permitan proteger la salud y la seguridad de todos los trabajadores, mediante la mejora continua, el control y monitoreo del mismo, asegurando el cumplimiento legal y el adecuado desempeño del SGSST.</t>
  </si>
  <si>
    <t>Administrar los recursos financieros de forma eficaz y eficiente para cumplir con las obligaciones de la Entidad en los diferentes procesos, respondiendo oportunamente a los requerimientos de los grupos de valor.</t>
  </si>
  <si>
    <t>Criterios</t>
  </si>
  <si>
    <t>Gestionar la adquisición y la administración de los Bienes y Servicios necesarios en la ejecución de las actividades de la Empresa de Vivienda de Antioquia-VIVA, para contribuir con el logro de los objetivos organizacionales, cumpliendo con los principios de la administración pública.</t>
  </si>
  <si>
    <t>Gestionar de manera eficiente la administración, manejo y custodia de los documentos generados en la entidad, para fortalecer eficazmente la gestión documental de la Empresa de Vivienda de Antioquia-VIVA, a través de los elementos técnicos, normativos y operativos necesarios para su adecuado funcionamiento.</t>
  </si>
  <si>
    <t>❌</t>
  </si>
  <si>
    <t>Tramitar la fase de instrucción de los procesos disciplinarios por la presunta comisión de conductas que puedan constituirse como falta disciplinaria y que le sea atribuible a los funcionarios y exfuncionarios de la Empresa de Vivienda de Antioquia – VIVA en el ejercicio de sus funciones, ejecutando los procesos administrativos pertinentes con el fin de determinar su responsabilidad conforme a la Constitución y la Ley.</t>
  </si>
  <si>
    <t>✔</t>
  </si>
  <si>
    <t>Fortalecer la confidencialidad, la integridad y disponibilidad de la información, mediante procedimientos, lineamientos y herramientas tecnológicas que generen cumplimiento y apoyo a los demás procesos de la entidad, enfocando los esfuerzos en la generación de cultura y cuidado de la seguridad informática</t>
  </si>
  <si>
    <t>Evaluar de forma independiente y objetiva la gestión de los procesos institucionales, a través de seguimientos y auditorías que permitan generar alertas tempranas que contribuyan al mejoramiento continuo en la gestión de la Entidad de acuerdo con el plan anual de auditorías.</t>
  </si>
  <si>
    <t>Determinar los lineamientos estratégicos a partir del análisis del contexto interno y externo de VIVA, con la finalidad de obtener resultados para la toma de decisiones y acciones para asegurarse de la conveniencia, adecuación, eficacia y alineación continua del Sistema de Gestión que lleve al cumplimiento de su objeto social y al logro del éxito sostenido en su gestión, estableciendo parámetros generales de acción a cada uno de los procesos.</t>
  </si>
  <si>
    <t>Gestionar las necesidades y expectativas de nuestros grupos de valor y partes interesadas a quienes va dirigida la gestión institucional de VIVA.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</si>
</sst>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b/>
      <sz val="11"/>
      <name val="Arial"/>
      <family val="2"/>
    </font>
    <font>
      <sz val="11"/>
      <name val="Arial"/>
      <family val="2"/>
    </font>
    <font>
      <sz val="11"/>
      <color rgb="FFFF0000"/>
      <name val="Arial"/>
      <family val="2"/>
    </font>
    <font>
      <sz val="11"/>
      <color rgb="FF000000"/>
      <name val="Arial"/>
      <family val="2"/>
    </font>
    <font>
      <b/>
      <sz val="11"/>
      <color rgb="FF000000"/>
      <name val="Arial"/>
      <family val="2"/>
    </font>
    <font>
      <b/>
      <sz val="11"/>
      <color theme="1"/>
      <name val="Arial"/>
      <family val="2"/>
    </font>
    <font>
      <sz val="11"/>
      <color theme="1"/>
      <name val="Arial"/>
      <family val="2"/>
    </font>
    <font>
      <sz val="11"/>
      <name val="Calibri"/>
      <family val="2"/>
    </font>
    <font>
      <sz val="12"/>
      <name val="Arial"/>
      <family val="2"/>
    </font>
    <font>
      <sz val="15"/>
      <color theme="1"/>
      <name val="Arial"/>
      <family val="2"/>
    </font>
    <font>
      <b/>
      <sz val="11"/>
      <color rgb="FF000080"/>
      <name val="Arial"/>
      <family val="2"/>
    </font>
    <font>
      <sz val="11"/>
      <color rgb="FF000080"/>
      <name val="Arial"/>
      <family val="2"/>
    </font>
    <font>
      <b/>
      <sz val="11"/>
      <color theme="4" tint="-0.499984740745262"/>
      <name val="Arial"/>
      <family val="2"/>
    </font>
    <font>
      <b/>
      <sz val="12"/>
      <name val="Arial"/>
      <family val="2"/>
    </font>
    <font>
      <b/>
      <sz val="16"/>
      <color theme="1"/>
      <name val="Calibri"/>
      <family val="2"/>
    </font>
    <font>
      <b/>
      <sz val="12"/>
      <color rgb="FF000000"/>
      <name val="Calibri"/>
      <family val="2"/>
    </font>
    <font>
      <b/>
      <sz val="13"/>
      <color rgb="FFC55A11"/>
      <name val="Calibri"/>
      <family val="2"/>
    </font>
    <font>
      <sz val="12"/>
      <color theme="1"/>
      <name val="Calibri"/>
      <family val="2"/>
    </font>
    <font>
      <sz val="11"/>
      <color theme="1"/>
      <name val="Calibri"/>
      <family val="2"/>
    </font>
    <font>
      <sz val="10"/>
      <name val="Arial"/>
      <family val="2"/>
    </font>
    <font>
      <sz val="12"/>
      <color theme="1"/>
      <name val="Arial"/>
      <family val="2"/>
    </font>
    <font>
      <sz val="24"/>
      <name val="Arial"/>
      <family val="2"/>
    </font>
    <font>
      <sz val="11"/>
      <color rgb="FFFFFFFF"/>
      <name val="Arial"/>
      <family val="2"/>
    </font>
    <font>
      <b/>
      <sz val="12"/>
      <color rgb="FF000000"/>
      <name val="Arial"/>
      <family val="2"/>
    </font>
    <font>
      <b/>
      <sz val="11"/>
      <color theme="1"/>
      <name val="Arial Narrow"/>
      <family val="2"/>
    </font>
    <font>
      <sz val="11"/>
      <color theme="1"/>
      <name val="Arial Narrow"/>
      <family val="2"/>
    </font>
    <font>
      <sz val="11"/>
      <color rgb="FF030303"/>
      <name val="Arial"/>
      <family val="2"/>
    </font>
    <font>
      <sz val="12"/>
      <name val="Times New Roman"/>
      <family val="1"/>
    </font>
    <font>
      <b/>
      <sz val="9"/>
      <name val="Arial Narrow"/>
      <family val="2"/>
    </font>
    <font>
      <sz val="9"/>
      <name val="Arial Narrow"/>
      <family val="2"/>
    </font>
    <font>
      <sz val="8"/>
      <name val="Calibri"/>
      <family val="2"/>
      <scheme val="minor"/>
    </font>
    <font>
      <b/>
      <sz val="22"/>
      <color theme="1"/>
      <name val="Arial"/>
      <family val="2"/>
    </font>
    <font>
      <b/>
      <sz val="40"/>
      <color rgb="FF000000"/>
      <name val="Arial"/>
      <family val="2"/>
    </font>
    <font>
      <sz val="28"/>
      <color theme="1"/>
      <name val="Arial"/>
      <family val="2"/>
    </font>
    <font>
      <b/>
      <sz val="28"/>
      <color rgb="FF000000"/>
      <name val="Arial"/>
      <family val="2"/>
    </font>
    <font>
      <b/>
      <sz val="36"/>
      <color rgb="FF000000"/>
      <name val="Arial"/>
      <family val="2"/>
    </font>
    <font>
      <sz val="16"/>
      <color theme="1"/>
      <name val="Arial"/>
      <family val="2"/>
    </font>
    <font>
      <sz val="24"/>
      <color theme="1"/>
      <name val="Arial"/>
      <family val="2"/>
    </font>
    <font>
      <sz val="18"/>
      <color theme="1"/>
      <name val="Arial"/>
      <family val="2"/>
    </font>
    <font>
      <b/>
      <sz val="20"/>
      <color theme="1"/>
      <name val="Arial"/>
      <family val="2"/>
    </font>
    <font>
      <b/>
      <sz val="24"/>
      <color rgb="FF000000"/>
      <name val="Arial"/>
      <family val="2"/>
    </font>
    <font>
      <b/>
      <sz val="18"/>
      <color rgb="FF000000"/>
      <name val="Arial"/>
      <family val="2"/>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s>
  <fills count="34">
    <fill>
      <patternFill patternType="none"/>
    </fill>
    <fill>
      <patternFill patternType="gray125"/>
    </fill>
    <fill>
      <patternFill patternType="solid">
        <fgColor theme="0"/>
        <bgColor theme="0"/>
      </patternFill>
    </fill>
    <fill>
      <patternFill patternType="solid">
        <fgColor rgb="FFA8D08D"/>
        <bgColor rgb="FFA8D08D"/>
      </patternFill>
    </fill>
    <fill>
      <patternFill patternType="solid">
        <fgColor rgb="FFD8D8D8"/>
        <bgColor rgb="FFD8D8D8"/>
      </patternFill>
    </fill>
    <fill>
      <patternFill patternType="solid">
        <fgColor theme="0"/>
        <bgColor indexed="64"/>
      </patternFill>
    </fill>
    <fill>
      <patternFill patternType="solid">
        <fgColor rgb="FFD9E2F3"/>
        <bgColor rgb="FFD9E2F3"/>
      </patternFill>
    </fill>
    <fill>
      <patternFill patternType="solid">
        <fgColor theme="9" tint="0.39997558519241921"/>
        <bgColor indexed="64"/>
      </patternFill>
    </fill>
    <fill>
      <patternFill patternType="solid">
        <fgColor theme="6" tint="0.79998168889431442"/>
        <bgColor indexed="64"/>
      </patternFill>
    </fill>
    <fill>
      <patternFill patternType="solid">
        <fgColor theme="9" tint="0.39997558519241921"/>
        <bgColor rgb="FFC8C8C8"/>
      </patternFill>
    </fill>
    <fill>
      <patternFill patternType="solid">
        <fgColor theme="9" tint="0.39997558519241921"/>
        <bgColor rgb="FFDADADA"/>
      </patternFill>
    </fill>
    <fill>
      <patternFill patternType="solid">
        <fgColor rgb="FF00B050"/>
        <bgColor rgb="FFDADADA"/>
      </patternFill>
    </fill>
    <fill>
      <patternFill patternType="solid">
        <fgColor rgb="FFFFFF00"/>
        <bgColor rgb="FFDADADA"/>
      </patternFill>
    </fill>
    <fill>
      <patternFill patternType="solid">
        <fgColor theme="7" tint="-0.249977111117893"/>
        <bgColor rgb="FFDADADA"/>
      </patternFill>
    </fill>
    <fill>
      <patternFill patternType="solid">
        <fgColor rgb="FFFF0000"/>
        <bgColor rgb="FFDADADA"/>
      </patternFill>
    </fill>
    <fill>
      <patternFill patternType="solid">
        <fgColor rgb="FF92D050"/>
        <bgColor rgb="FFD9E2F3"/>
      </patternFill>
    </fill>
    <fill>
      <patternFill patternType="solid">
        <fgColor rgb="FF92D050"/>
        <bgColor rgb="FFADB9CA"/>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7"/>
        <bgColor rgb="FFB4C6E7"/>
      </patternFill>
    </fill>
    <fill>
      <patternFill patternType="solid">
        <fgColor theme="7"/>
        <bgColor indexed="64"/>
      </patternFill>
    </fill>
    <fill>
      <patternFill patternType="solid">
        <fgColor theme="7"/>
        <bgColor rgb="FFA8D08D"/>
      </patternFill>
    </fill>
    <fill>
      <patternFill patternType="solid">
        <fgColor theme="7"/>
        <bgColor rgb="FFD0CECE"/>
      </patternFill>
    </fill>
    <fill>
      <patternFill patternType="solid">
        <fgColor theme="9" tint="0.39997558519241921"/>
        <bgColor rgb="FFA8D08D"/>
      </patternFill>
    </fill>
    <fill>
      <patternFill patternType="solid">
        <fgColor theme="9" tint="0.39997558519241921"/>
        <bgColor rgb="FFB4C6E7"/>
      </patternFill>
    </fill>
    <fill>
      <patternFill patternType="solid">
        <fgColor rgb="FFFFFF00"/>
        <bgColor indexed="64"/>
      </patternFill>
    </fill>
    <fill>
      <patternFill patternType="solid">
        <fgColor rgb="FFC00000"/>
        <bgColor indexed="64"/>
      </patternFill>
    </fill>
    <fill>
      <patternFill patternType="solid">
        <fgColor theme="8" tint="0.79998168889431442"/>
        <bgColor indexed="64"/>
      </patternFill>
    </fill>
    <fill>
      <patternFill patternType="solid">
        <fgColor rgb="FFD9D9D9"/>
        <bgColor indexed="64"/>
      </patternFill>
    </fill>
    <fill>
      <patternFill patternType="solid">
        <fgColor rgb="FFE26B0A"/>
        <bgColor indexed="64"/>
      </patternFill>
    </fill>
    <fill>
      <patternFill patternType="solid">
        <fgColor theme="9"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rgb="FF000000"/>
      </left>
      <right/>
      <top/>
      <bottom style="medium">
        <color rgb="FF000000"/>
      </bottom>
      <diagonal/>
    </border>
    <border>
      <left/>
      <right/>
      <top/>
      <bottom style="medium">
        <color rgb="FF000000"/>
      </bottom>
      <diagonal/>
    </border>
    <border>
      <left/>
      <right style="medium">
        <color indexed="64"/>
      </right>
      <top/>
      <bottom style="medium">
        <color indexed="64"/>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rgb="FF000000"/>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rgb="FF000000"/>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1" fillId="0" borderId="0"/>
    <xf numFmtId="0" fontId="23" fillId="0" borderId="0"/>
    <xf numFmtId="0" fontId="31" fillId="0" borderId="0"/>
  </cellStyleXfs>
  <cellXfs count="502">
    <xf numFmtId="0" fontId="0" fillId="0" borderId="0" xfId="0"/>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quotePrefix="1" applyFont="1" applyBorder="1" applyAlignment="1">
      <alignment vertical="center" wrapText="1"/>
    </xf>
    <xf numFmtId="0" fontId="9" fillId="2" borderId="1" xfId="0" applyFont="1" applyFill="1" applyBorder="1" applyAlignment="1">
      <alignment horizontal="center" vertical="center" textRotation="90" wrapText="1"/>
    </xf>
    <xf numFmtId="0" fontId="9" fillId="0" borderId="1" xfId="0" applyFont="1" applyBorder="1" applyAlignment="1">
      <alignment horizontal="center" vertical="center" textRotation="90" wrapText="1"/>
    </xf>
    <xf numFmtId="0" fontId="10" fillId="0" borderId="0" xfId="0" applyFont="1"/>
    <xf numFmtId="0" fontId="9" fillId="8"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10" fillId="4" borderId="1" xfId="0" applyFont="1" applyFill="1" applyBorder="1" applyAlignment="1">
      <alignment horizontal="justify" wrapText="1"/>
    </xf>
    <xf numFmtId="0" fontId="3" fillId="7" borderId="1" xfId="0" applyFont="1" applyFill="1" applyBorder="1" applyAlignment="1">
      <alignment horizontal="center" vertical="center"/>
    </xf>
    <xf numFmtId="0" fontId="13" fillId="2" borderId="0" xfId="0" applyFont="1" applyFill="1"/>
    <xf numFmtId="0" fontId="13" fillId="2" borderId="0" xfId="0" applyFont="1" applyFill="1" applyAlignment="1">
      <alignment horizontal="left" vertical="center" wrapText="1"/>
    </xf>
    <xf numFmtId="0" fontId="3" fillId="6" borderId="29" xfId="0" applyFont="1" applyFill="1" applyBorder="1" applyAlignment="1">
      <alignment horizontal="center"/>
    </xf>
    <xf numFmtId="0" fontId="10" fillId="2" borderId="29" xfId="0" applyFont="1" applyFill="1" applyBorder="1" applyAlignment="1">
      <alignment horizontal="justify" vertical="center" wrapText="1"/>
    </xf>
    <xf numFmtId="0" fontId="16" fillId="2" borderId="29" xfId="0" applyFont="1" applyFill="1" applyBorder="1" applyAlignment="1">
      <alignment horizontal="justify" vertical="center" wrapText="1"/>
    </xf>
    <xf numFmtId="0" fontId="5" fillId="0" borderId="1" xfId="0" applyFont="1" applyBorder="1" applyAlignment="1">
      <alignment horizontal="justify" vertical="center" wrapText="1"/>
    </xf>
    <xf numFmtId="0" fontId="20" fillId="2" borderId="29" xfId="0" applyFont="1" applyFill="1" applyBorder="1" applyAlignment="1">
      <alignment horizontal="center" vertical="center" wrapText="1"/>
    </xf>
    <xf numFmtId="0" fontId="21" fillId="2" borderId="29" xfId="0" applyFont="1" applyFill="1" applyBorder="1" applyAlignment="1">
      <alignment horizontal="justify" vertical="center" wrapText="1"/>
    </xf>
    <xf numFmtId="0" fontId="21" fillId="2" borderId="32" xfId="0" applyFont="1" applyFill="1" applyBorder="1" applyAlignment="1">
      <alignment horizontal="justify" vertical="center" wrapText="1"/>
    </xf>
    <xf numFmtId="0" fontId="21" fillId="2" borderId="33" xfId="0" applyFont="1" applyFill="1" applyBorder="1" applyAlignment="1">
      <alignment horizontal="justify" vertical="center" wrapText="1"/>
    </xf>
    <xf numFmtId="0" fontId="21" fillId="2" borderId="24" xfId="0" applyFont="1" applyFill="1" applyBorder="1" applyAlignment="1">
      <alignment horizontal="justify" vertical="center" wrapText="1"/>
    </xf>
    <xf numFmtId="0" fontId="9" fillId="8" borderId="1" xfId="0" applyFont="1" applyFill="1" applyBorder="1" applyAlignment="1">
      <alignment horizontal="center" vertical="center" wrapText="1"/>
    </xf>
    <xf numFmtId="0" fontId="22" fillId="2" borderId="0" xfId="0" applyFont="1" applyFill="1"/>
    <xf numFmtId="0" fontId="9" fillId="10" borderId="34" xfId="0" applyFont="1" applyFill="1" applyBorder="1" applyAlignment="1">
      <alignment horizontal="center" vertical="center"/>
    </xf>
    <xf numFmtId="0" fontId="10" fillId="2" borderId="34" xfId="0" applyFont="1" applyFill="1" applyBorder="1" applyAlignment="1">
      <alignment horizontal="left" vertical="center" wrapText="1"/>
    </xf>
    <xf numFmtId="0" fontId="9" fillId="11" borderId="36" xfId="0" applyFont="1" applyFill="1" applyBorder="1" applyAlignment="1">
      <alignment horizontal="center" vertical="center"/>
    </xf>
    <xf numFmtId="0" fontId="10" fillId="2" borderId="36" xfId="0" applyFont="1" applyFill="1" applyBorder="1" applyAlignment="1">
      <alignment horizontal="left" vertical="center" wrapText="1"/>
    </xf>
    <xf numFmtId="0" fontId="9" fillId="12" borderId="36" xfId="0" applyFont="1" applyFill="1" applyBorder="1" applyAlignment="1">
      <alignment horizontal="center" vertical="center"/>
    </xf>
    <xf numFmtId="0" fontId="9" fillId="13" borderId="36" xfId="0" applyFont="1" applyFill="1" applyBorder="1" applyAlignment="1">
      <alignment horizontal="center" vertical="center"/>
    </xf>
    <xf numFmtId="0" fontId="9" fillId="14" borderId="37" xfId="0" applyFont="1" applyFill="1" applyBorder="1" applyAlignment="1">
      <alignment horizontal="center" vertical="center"/>
    </xf>
    <xf numFmtId="0" fontId="10" fillId="2" borderId="37" xfId="0" applyFont="1" applyFill="1" applyBorder="1" applyAlignment="1">
      <alignment horizontal="left" vertical="center" wrapText="1"/>
    </xf>
    <xf numFmtId="9" fontId="10" fillId="2" borderId="35" xfId="1" applyFont="1" applyFill="1" applyBorder="1" applyAlignment="1">
      <alignment horizontal="center" vertical="center" wrapText="1"/>
    </xf>
    <xf numFmtId="9" fontId="10" fillId="2" borderId="30" xfId="1" applyFont="1" applyFill="1" applyBorder="1" applyAlignment="1">
      <alignment horizontal="center" vertical="center" wrapText="1"/>
    </xf>
    <xf numFmtId="9" fontId="10" fillId="2" borderId="31" xfId="1" applyFont="1" applyFill="1" applyBorder="1" applyAlignment="1">
      <alignment horizontal="center" vertical="center" wrapText="1"/>
    </xf>
    <xf numFmtId="0" fontId="9" fillId="15" borderId="20" xfId="0" applyFont="1" applyFill="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justify" vertical="center" wrapText="1"/>
    </xf>
    <xf numFmtId="0" fontId="7" fillId="0" borderId="1" xfId="0" applyFont="1" applyBorder="1" applyAlignment="1">
      <alignment horizontal="center" vertical="center" wrapText="1" readingOrder="1"/>
    </xf>
    <xf numFmtId="0" fontId="7" fillId="0" borderId="1" xfId="0" applyFont="1" applyBorder="1" applyAlignment="1">
      <alignment horizontal="justify" vertical="center" wrapText="1" readingOrder="1"/>
    </xf>
    <xf numFmtId="0" fontId="7" fillId="18" borderId="1" xfId="0" applyFont="1" applyFill="1" applyBorder="1" applyAlignment="1">
      <alignment horizontal="center" vertical="center" wrapText="1" readingOrder="1"/>
    </xf>
    <xf numFmtId="0" fontId="7" fillId="19" borderId="1" xfId="0" applyFont="1" applyFill="1" applyBorder="1" applyAlignment="1">
      <alignment horizontal="center" vertical="center" wrapText="1" readingOrder="1"/>
    </xf>
    <xf numFmtId="0" fontId="7" fillId="20" borderId="1" xfId="0" applyFont="1" applyFill="1" applyBorder="1" applyAlignment="1">
      <alignment horizontal="center" vertical="center" wrapText="1" readingOrder="1"/>
    </xf>
    <xf numFmtId="0" fontId="26" fillId="21" borderId="1" xfId="0" applyFont="1" applyFill="1" applyBorder="1" applyAlignment="1">
      <alignment horizontal="center" vertical="center" wrapText="1" readingOrder="1"/>
    </xf>
    <xf numFmtId="0" fontId="7" fillId="7" borderId="1" xfId="0" applyFont="1" applyFill="1" applyBorder="1" applyAlignment="1">
      <alignment horizontal="center" vertical="center" wrapText="1" readingOrder="1"/>
    </xf>
    <xf numFmtId="0" fontId="27" fillId="17" borderId="39" xfId="0" applyFont="1" applyFill="1" applyBorder="1" applyAlignment="1">
      <alignment horizontal="center" vertical="center" wrapText="1" readingOrder="1"/>
    </xf>
    <xf numFmtId="0" fontId="27" fillId="17" borderId="41" xfId="0" applyFont="1" applyFill="1" applyBorder="1" applyAlignment="1">
      <alignment horizontal="center" vertical="center" wrapText="1" readingOrder="1"/>
    </xf>
    <xf numFmtId="0" fontId="10" fillId="0" borderId="41" xfId="0" applyFont="1" applyBorder="1" applyAlignment="1">
      <alignment vertical="center" wrapText="1"/>
    </xf>
    <xf numFmtId="0" fontId="10" fillId="0" borderId="1" xfId="0" applyFont="1" applyBorder="1"/>
    <xf numFmtId="0" fontId="28" fillId="0" borderId="1" xfId="0" applyFont="1" applyBorder="1" applyAlignment="1" applyProtection="1">
      <alignment horizontal="center" vertical="center" wrapText="1"/>
      <protection hidden="1"/>
    </xf>
    <xf numFmtId="9" fontId="29" fillId="0" borderId="1" xfId="0" applyNumberFormat="1" applyFont="1" applyBorder="1" applyAlignment="1" applyProtection="1">
      <alignment vertical="center" wrapText="1"/>
      <protection hidden="1"/>
    </xf>
    <xf numFmtId="9" fontId="29" fillId="0" borderId="1" xfId="0" applyNumberFormat="1" applyFont="1" applyBorder="1" applyAlignment="1" applyProtection="1">
      <alignment horizontal="center" vertical="center" wrapText="1"/>
      <protection hidden="1"/>
    </xf>
    <xf numFmtId="0" fontId="10" fillId="0" borderId="41" xfId="0" applyFont="1" applyBorder="1" applyAlignment="1">
      <alignment horizontal="center" vertical="center" wrapText="1"/>
    </xf>
    <xf numFmtId="0" fontId="0" fillId="0" borderId="0" xfId="0" pivotButton="1"/>
    <xf numFmtId="0" fontId="0" fillId="0" borderId="0" xfId="0" applyAlignment="1">
      <alignment vertical="center"/>
    </xf>
    <xf numFmtId="0" fontId="0" fillId="0" borderId="0" xfId="0" applyAlignment="1">
      <alignment horizontal="center" vertical="center" wrapText="1"/>
    </xf>
    <xf numFmtId="0" fontId="30" fillId="0" borderId="0" xfId="0" applyFont="1"/>
    <xf numFmtId="0" fontId="10" fillId="0" borderId="0" xfId="0" applyFont="1" applyAlignment="1">
      <alignment horizontal="center" vertical="center" wrapText="1"/>
    </xf>
    <xf numFmtId="0" fontId="7" fillId="0" borderId="0" xfId="0" applyFont="1" applyAlignment="1">
      <alignment horizontal="center" vertical="center" wrapText="1" readingOrder="1"/>
    </xf>
    <xf numFmtId="0" fontId="7" fillId="0" borderId="0" xfId="0" applyFont="1" applyAlignment="1">
      <alignment horizontal="justify" vertical="center" wrapText="1" readingOrder="1"/>
    </xf>
    <xf numFmtId="0" fontId="9" fillId="0" borderId="1" xfId="0" applyFont="1" applyBorder="1"/>
    <xf numFmtId="0" fontId="10" fillId="0" borderId="1" xfId="0" applyFont="1" applyBorder="1" applyAlignment="1">
      <alignment horizontal="center" vertical="center" textRotation="90"/>
    </xf>
    <xf numFmtId="9" fontId="10" fillId="0" borderId="1" xfId="1" applyFont="1" applyBorder="1" applyAlignment="1">
      <alignment horizontal="center" vertical="center"/>
    </xf>
    <xf numFmtId="0" fontId="10" fillId="0" borderId="41" xfId="0" applyFont="1" applyBorder="1"/>
    <xf numFmtId="0" fontId="9" fillId="0" borderId="41" xfId="0" applyFont="1" applyBorder="1"/>
    <xf numFmtId="0" fontId="29" fillId="0" borderId="1" xfId="0" applyFont="1" applyBorder="1" applyAlignment="1" applyProtection="1">
      <alignment horizontal="center" vertical="center"/>
      <protection hidden="1"/>
    </xf>
    <xf numFmtId="9" fontId="29" fillId="0" borderId="1" xfId="0" applyNumberFormat="1" applyFont="1" applyBorder="1" applyAlignment="1" applyProtection="1">
      <alignment horizontal="center" vertical="center"/>
      <protection hidden="1"/>
    </xf>
    <xf numFmtId="0" fontId="28" fillId="0" borderId="1" xfId="0" applyFont="1" applyBorder="1" applyAlignment="1" applyProtection="1">
      <alignment horizontal="center" vertical="center" textRotation="90" wrapText="1"/>
      <protection hidden="1"/>
    </xf>
    <xf numFmtId="0" fontId="28" fillId="0" borderId="1" xfId="0" applyFont="1" applyBorder="1" applyAlignment="1" applyProtection="1">
      <alignment horizontal="center" vertical="center" textRotation="90"/>
      <protection hidden="1"/>
    </xf>
    <xf numFmtId="0" fontId="10" fillId="0" borderId="1" xfId="0" applyFont="1" applyBorder="1" applyAlignment="1">
      <alignment horizontal="justify"/>
    </xf>
    <xf numFmtId="0" fontId="9" fillId="0" borderId="1" xfId="0" applyFont="1" applyBorder="1" applyAlignment="1">
      <alignment horizontal="justify" vertical="center" wrapText="1"/>
    </xf>
    <xf numFmtId="0" fontId="9" fillId="0" borderId="41" xfId="0" applyFont="1" applyBorder="1" applyAlignment="1">
      <alignment horizontal="center" vertical="center"/>
    </xf>
    <xf numFmtId="9" fontId="29" fillId="0" borderId="40" xfId="0" applyNumberFormat="1" applyFont="1" applyBorder="1" applyAlignment="1" applyProtection="1">
      <alignment horizontal="center" vertical="center"/>
      <protection hidden="1"/>
    </xf>
    <xf numFmtId="0" fontId="10" fillId="0" borderId="40" xfId="0" applyFont="1" applyBorder="1" applyAlignment="1">
      <alignment horizontal="center" vertical="center" wrapText="1"/>
    </xf>
    <xf numFmtId="0" fontId="28" fillId="0" borderId="50" xfId="0" applyFont="1" applyBorder="1" applyAlignment="1" applyProtection="1">
      <alignment horizontal="center" vertical="center" wrapText="1"/>
      <protection hidden="1"/>
    </xf>
    <xf numFmtId="0" fontId="28" fillId="0" borderId="1" xfId="0" applyFont="1" applyBorder="1" applyAlignment="1" applyProtection="1">
      <alignment horizontal="center" vertical="center"/>
      <protection hidden="1"/>
    </xf>
    <xf numFmtId="0" fontId="7" fillId="0" borderId="1" xfId="0" applyFont="1" applyBorder="1" applyAlignment="1">
      <alignment vertical="center"/>
    </xf>
    <xf numFmtId="0" fontId="9" fillId="0" borderId="41" xfId="0" applyFont="1" applyBorder="1" applyAlignment="1">
      <alignment horizontal="justify"/>
    </xf>
    <xf numFmtId="0" fontId="10" fillId="0" borderId="1" xfId="0" quotePrefix="1" applyFont="1" applyBorder="1" applyAlignment="1">
      <alignment horizontal="justify" vertical="center" wrapText="1"/>
    </xf>
    <xf numFmtId="0" fontId="10" fillId="0" borderId="1" xfId="0" applyFont="1" applyBorder="1" applyAlignment="1">
      <alignment vertical="center"/>
    </xf>
    <xf numFmtId="0" fontId="10" fillId="0" borderId="1" xfId="0" applyFont="1" applyBorder="1" applyAlignment="1">
      <alignment horizontal="justify" vertical="center"/>
    </xf>
    <xf numFmtId="9" fontId="10" fillId="0" borderId="1" xfId="1" applyFont="1" applyFill="1" applyBorder="1" applyAlignment="1">
      <alignment horizontal="center" vertical="center"/>
    </xf>
    <xf numFmtId="0" fontId="28" fillId="0" borderId="40" xfId="0" applyFont="1" applyBorder="1" applyAlignment="1" applyProtection="1">
      <alignment horizontal="center" vertical="center" wrapText="1"/>
      <protection hidden="1"/>
    </xf>
    <xf numFmtId="0" fontId="28" fillId="30" borderId="40" xfId="0" applyFont="1" applyFill="1" applyBorder="1" applyAlignment="1" applyProtection="1">
      <alignment horizontal="center" vertical="center" wrapText="1"/>
      <protection hidden="1"/>
    </xf>
    <xf numFmtId="0" fontId="10" fillId="0" borderId="40" xfId="0" applyFont="1" applyBorder="1" applyAlignment="1">
      <alignment vertical="center" wrapText="1"/>
    </xf>
    <xf numFmtId="9" fontId="29" fillId="0" borderId="40" xfId="0" applyNumberFormat="1" applyFont="1" applyBorder="1" applyAlignment="1" applyProtection="1">
      <alignment horizontal="center" vertical="center" wrapText="1"/>
      <protection hidden="1"/>
    </xf>
    <xf numFmtId="9" fontId="29" fillId="0" borderId="40" xfId="0" applyNumberFormat="1" applyFont="1" applyBorder="1" applyAlignment="1" applyProtection="1">
      <alignment vertical="center" wrapText="1"/>
      <protection hidden="1"/>
    </xf>
    <xf numFmtId="0" fontId="28" fillId="30" borderId="40" xfId="0" applyFont="1" applyFill="1" applyBorder="1" applyAlignment="1" applyProtection="1">
      <alignment horizontal="center" vertical="center"/>
      <protection hidden="1"/>
    </xf>
    <xf numFmtId="0" fontId="28" fillId="0" borderId="40" xfId="0" applyFont="1" applyBorder="1" applyAlignment="1" applyProtection="1">
      <alignment horizontal="center" vertical="center"/>
      <protection hidden="1"/>
    </xf>
    <xf numFmtId="0" fontId="10" fillId="5" borderId="0" xfId="0" applyFont="1" applyFill="1"/>
    <xf numFmtId="0" fontId="40" fillId="5" borderId="0" xfId="0" applyFont="1" applyFill="1" applyAlignment="1">
      <alignment vertical="center"/>
    </xf>
    <xf numFmtId="0" fontId="27" fillId="32" borderId="6" xfId="0" applyFont="1" applyFill="1" applyBorder="1" applyAlignment="1" applyProtection="1">
      <alignment horizontal="center" vertical="center" wrapText="1" readingOrder="1"/>
      <protection hidden="1"/>
    </xf>
    <xf numFmtId="0" fontId="27" fillId="32" borderId="7" xfId="0" applyFont="1" applyFill="1" applyBorder="1" applyAlignment="1" applyProtection="1">
      <alignment horizontal="center" vertical="center" wrapText="1" readingOrder="1"/>
      <protection hidden="1"/>
    </xf>
    <xf numFmtId="0" fontId="27" fillId="32" borderId="52" xfId="0" applyFont="1" applyFill="1" applyBorder="1" applyAlignment="1" applyProtection="1">
      <alignment horizontal="center" vertical="center" wrapText="1" readingOrder="1"/>
      <protection hidden="1"/>
    </xf>
    <xf numFmtId="0" fontId="27" fillId="29" borderId="6" xfId="0" applyFont="1" applyFill="1" applyBorder="1" applyAlignment="1" applyProtection="1">
      <alignment horizontal="center" wrapText="1" readingOrder="1"/>
      <protection hidden="1"/>
    </xf>
    <xf numFmtId="0" fontId="27" fillId="29" borderId="7" xfId="0" applyFont="1" applyFill="1" applyBorder="1" applyAlignment="1" applyProtection="1">
      <alignment horizontal="center" wrapText="1" readingOrder="1"/>
      <protection hidden="1"/>
    </xf>
    <xf numFmtId="0" fontId="27" fillId="29" borderId="52" xfId="0" applyFont="1" applyFill="1" applyBorder="1" applyAlignment="1" applyProtection="1">
      <alignment horizontal="center" wrapText="1" readingOrder="1"/>
      <protection hidden="1"/>
    </xf>
    <xf numFmtId="0" fontId="27" fillId="32" borderId="9" xfId="0" applyFont="1" applyFill="1" applyBorder="1" applyAlignment="1" applyProtection="1">
      <alignment horizontal="center" vertical="center" wrapText="1" readingOrder="1"/>
      <protection hidden="1"/>
    </xf>
    <xf numFmtId="0" fontId="27" fillId="32" borderId="0" xfId="0" applyFont="1" applyFill="1" applyAlignment="1" applyProtection="1">
      <alignment horizontal="center" vertical="center" wrapText="1" readingOrder="1"/>
      <protection hidden="1"/>
    </xf>
    <xf numFmtId="0" fontId="27" fillId="32" borderId="10" xfId="0" applyFont="1" applyFill="1" applyBorder="1" applyAlignment="1" applyProtection="1">
      <alignment horizontal="center" vertical="center" wrapText="1" readingOrder="1"/>
      <protection hidden="1"/>
    </xf>
    <xf numFmtId="0" fontId="27" fillId="29" borderId="9" xfId="0" applyFont="1" applyFill="1" applyBorder="1" applyAlignment="1" applyProtection="1">
      <alignment horizontal="center" wrapText="1" readingOrder="1"/>
      <protection hidden="1"/>
    </xf>
    <xf numFmtId="0" fontId="27" fillId="29" borderId="0" xfId="0" applyFont="1" applyFill="1" applyAlignment="1" applyProtection="1">
      <alignment horizontal="center" wrapText="1" readingOrder="1"/>
      <protection hidden="1"/>
    </xf>
    <xf numFmtId="0" fontId="27" fillId="29" borderId="10" xfId="0" applyFont="1" applyFill="1" applyBorder="1" applyAlignment="1" applyProtection="1">
      <alignment horizontal="center" wrapText="1" readingOrder="1"/>
      <protection hidden="1"/>
    </xf>
    <xf numFmtId="0" fontId="27" fillId="32" borderId="2" xfId="0" applyFont="1" applyFill="1" applyBorder="1" applyAlignment="1" applyProtection="1">
      <alignment horizontal="center" vertical="center" wrapText="1" readingOrder="1"/>
      <protection hidden="1"/>
    </xf>
    <xf numFmtId="0" fontId="27" fillId="32" borderId="3" xfId="0" applyFont="1" applyFill="1" applyBorder="1" applyAlignment="1" applyProtection="1">
      <alignment horizontal="center" vertical="center" wrapText="1" readingOrder="1"/>
      <protection hidden="1"/>
    </xf>
    <xf numFmtId="0" fontId="27" fillId="32" borderId="13" xfId="0" applyFont="1" applyFill="1" applyBorder="1" applyAlignment="1" applyProtection="1">
      <alignment horizontal="center" vertical="center" wrapText="1" readingOrder="1"/>
      <protection hidden="1"/>
    </xf>
    <xf numFmtId="0" fontId="27" fillId="29" borderId="2" xfId="0" applyFont="1" applyFill="1" applyBorder="1" applyAlignment="1" applyProtection="1">
      <alignment horizontal="center" wrapText="1" readingOrder="1"/>
      <protection hidden="1"/>
    </xf>
    <xf numFmtId="0" fontId="27" fillId="29" borderId="3" xfId="0" applyFont="1" applyFill="1" applyBorder="1" applyAlignment="1" applyProtection="1">
      <alignment horizontal="center" wrapText="1" readingOrder="1"/>
      <protection hidden="1"/>
    </xf>
    <xf numFmtId="0" fontId="27" fillId="29" borderId="13" xfId="0" applyFont="1" applyFill="1" applyBorder="1" applyAlignment="1" applyProtection="1">
      <alignment horizontal="center" wrapText="1" readingOrder="1"/>
      <protection hidden="1"/>
    </xf>
    <xf numFmtId="0" fontId="27" fillId="28" borderId="6" xfId="0" applyFont="1" applyFill="1" applyBorder="1" applyAlignment="1" applyProtection="1">
      <alignment horizontal="center" wrapText="1" readingOrder="1"/>
      <protection hidden="1"/>
    </xf>
    <xf numFmtId="0" fontId="27" fillId="28" borderId="7" xfId="0" applyFont="1" applyFill="1" applyBorder="1" applyAlignment="1" applyProtection="1">
      <alignment horizontal="center" wrapText="1" readingOrder="1"/>
      <protection hidden="1"/>
    </xf>
    <xf numFmtId="0" fontId="27" fillId="28" borderId="52" xfId="0" applyFont="1" applyFill="1" applyBorder="1" applyAlignment="1" applyProtection="1">
      <alignment horizontal="center" wrapText="1" readingOrder="1"/>
      <protection hidden="1"/>
    </xf>
    <xf numFmtId="0" fontId="27" fillId="28" borderId="9" xfId="0" applyFont="1" applyFill="1" applyBorder="1" applyAlignment="1" applyProtection="1">
      <alignment horizontal="center" wrapText="1" readingOrder="1"/>
      <protection hidden="1"/>
    </xf>
    <xf numFmtId="0" fontId="27" fillId="28" borderId="0" xfId="0" applyFont="1" applyFill="1" applyAlignment="1" applyProtection="1">
      <alignment horizontal="center" wrapText="1" readingOrder="1"/>
      <protection hidden="1"/>
    </xf>
    <xf numFmtId="0" fontId="27" fillId="28" borderId="10" xfId="0" applyFont="1" applyFill="1" applyBorder="1" applyAlignment="1" applyProtection="1">
      <alignment horizontal="center" wrapText="1" readingOrder="1"/>
      <protection hidden="1"/>
    </xf>
    <xf numFmtId="0" fontId="27" fillId="28" borderId="2" xfId="0" applyFont="1" applyFill="1" applyBorder="1" applyAlignment="1" applyProtection="1">
      <alignment horizontal="center" wrapText="1" readingOrder="1"/>
      <protection hidden="1"/>
    </xf>
    <xf numFmtId="0" fontId="27" fillId="28" borderId="3" xfId="0" applyFont="1" applyFill="1" applyBorder="1" applyAlignment="1" applyProtection="1">
      <alignment horizontal="center" wrapText="1" readingOrder="1"/>
      <protection hidden="1"/>
    </xf>
    <xf numFmtId="0" fontId="27" fillId="28" borderId="13" xfId="0" applyFont="1" applyFill="1" applyBorder="1" applyAlignment="1" applyProtection="1">
      <alignment horizontal="center" wrapText="1" readingOrder="1"/>
      <protection hidden="1"/>
    </xf>
    <xf numFmtId="0" fontId="27" fillId="17" borderId="6" xfId="0" applyFont="1" applyFill="1" applyBorder="1" applyAlignment="1" applyProtection="1">
      <alignment horizontal="center" wrapText="1" readingOrder="1"/>
      <protection hidden="1"/>
    </xf>
    <xf numFmtId="0" fontId="27" fillId="17" borderId="7" xfId="0" applyFont="1" applyFill="1" applyBorder="1" applyAlignment="1" applyProtection="1">
      <alignment horizontal="center" wrapText="1" readingOrder="1"/>
      <protection hidden="1"/>
    </xf>
    <xf numFmtId="0" fontId="27" fillId="17" borderId="52" xfId="0" applyFont="1" applyFill="1" applyBorder="1" applyAlignment="1" applyProtection="1">
      <alignment horizontal="center" wrapText="1" readingOrder="1"/>
      <protection hidden="1"/>
    </xf>
    <xf numFmtId="0" fontId="27" fillId="17" borderId="9" xfId="0" applyFont="1" applyFill="1" applyBorder="1" applyAlignment="1" applyProtection="1">
      <alignment horizontal="center" wrapText="1" readingOrder="1"/>
      <protection hidden="1"/>
    </xf>
    <xf numFmtId="0" fontId="27" fillId="17" borderId="0" xfId="0" applyFont="1" applyFill="1" applyAlignment="1" applyProtection="1">
      <alignment horizontal="center" wrapText="1" readingOrder="1"/>
      <protection hidden="1"/>
    </xf>
    <xf numFmtId="0" fontId="27" fillId="17" borderId="10" xfId="0" applyFont="1" applyFill="1" applyBorder="1" applyAlignment="1" applyProtection="1">
      <alignment horizontal="center" wrapText="1" readingOrder="1"/>
      <protection hidden="1"/>
    </xf>
    <xf numFmtId="0" fontId="27" fillId="17" borderId="2" xfId="0" applyFont="1" applyFill="1" applyBorder="1" applyAlignment="1" applyProtection="1">
      <alignment horizontal="center" wrapText="1" readingOrder="1"/>
      <protection hidden="1"/>
    </xf>
    <xf numFmtId="0" fontId="27" fillId="17" borderId="3" xfId="0" applyFont="1" applyFill="1" applyBorder="1" applyAlignment="1" applyProtection="1">
      <alignment horizontal="center" wrapText="1" readingOrder="1"/>
      <protection hidden="1"/>
    </xf>
    <xf numFmtId="0" fontId="27" fillId="17" borderId="13" xfId="0" applyFont="1" applyFill="1" applyBorder="1" applyAlignment="1" applyProtection="1">
      <alignment horizontal="center" wrapText="1" readingOrder="1"/>
      <protection hidden="1"/>
    </xf>
    <xf numFmtId="0" fontId="45" fillId="28" borderId="7" xfId="0" applyFont="1" applyFill="1" applyBorder="1" applyAlignment="1" applyProtection="1">
      <alignment horizontal="center" wrapText="1" readingOrder="1"/>
      <protection hidden="1"/>
    </xf>
    <xf numFmtId="0" fontId="47" fillId="5" borderId="0" xfId="0" applyFont="1" applyFill="1"/>
    <xf numFmtId="0" fontId="48" fillId="5" borderId="0" xfId="0" applyFont="1" applyFill="1"/>
    <xf numFmtId="0" fontId="49" fillId="33" borderId="62" xfId="0" applyFont="1" applyFill="1" applyBorder="1" applyAlignment="1">
      <alignment horizontal="center" vertical="center" wrapText="1" readingOrder="1"/>
    </xf>
    <xf numFmtId="0" fontId="49" fillId="33" borderId="63" xfId="0" applyFont="1" applyFill="1" applyBorder="1" applyAlignment="1">
      <alignment horizontal="center" vertical="center" wrapText="1" readingOrder="1"/>
    </xf>
    <xf numFmtId="0" fontId="49" fillId="5" borderId="41" xfId="0" applyFont="1" applyFill="1" applyBorder="1" applyAlignment="1">
      <alignment horizontal="center" vertical="center" wrapText="1" readingOrder="1"/>
    </xf>
    <xf numFmtId="0" fontId="50" fillId="5" borderId="41" xfId="0" applyFont="1" applyFill="1" applyBorder="1" applyAlignment="1">
      <alignment horizontal="justify" vertical="center" wrapText="1" readingOrder="1"/>
    </xf>
    <xf numFmtId="9" fontId="49" fillId="5" borderId="65" xfId="0" applyNumberFormat="1" applyFont="1" applyFill="1" applyBorder="1" applyAlignment="1">
      <alignment horizontal="center" vertical="center" wrapText="1" readingOrder="1"/>
    </xf>
    <xf numFmtId="0" fontId="49" fillId="5" borderId="1" xfId="0" applyFont="1" applyFill="1" applyBorder="1" applyAlignment="1">
      <alignment horizontal="center" vertical="center" wrapText="1" readingOrder="1"/>
    </xf>
    <xf numFmtId="0" fontId="50" fillId="5" borderId="1" xfId="0" applyFont="1" applyFill="1" applyBorder="1" applyAlignment="1">
      <alignment horizontal="justify" vertical="center" wrapText="1" readingOrder="1"/>
    </xf>
    <xf numFmtId="9" fontId="49" fillId="5" borderId="67" xfId="0" applyNumberFormat="1" applyFont="1" applyFill="1" applyBorder="1" applyAlignment="1">
      <alignment horizontal="center" vertical="center" wrapText="1" readingOrder="1"/>
    </xf>
    <xf numFmtId="0" fontId="50" fillId="5" borderId="67" xfId="0" applyFont="1" applyFill="1" applyBorder="1" applyAlignment="1">
      <alignment horizontal="center" vertical="center" wrapText="1" readingOrder="1"/>
    </xf>
    <xf numFmtId="0" fontId="49" fillId="5" borderId="69" xfId="0" applyFont="1" applyFill="1" applyBorder="1" applyAlignment="1">
      <alignment horizontal="center" vertical="center" wrapText="1" readingOrder="1"/>
    </xf>
    <xf numFmtId="0" fontId="50" fillId="5" borderId="69" xfId="0" applyFont="1" applyFill="1" applyBorder="1" applyAlignment="1">
      <alignment horizontal="justify" vertical="center" wrapText="1" readingOrder="1"/>
    </xf>
    <xf numFmtId="0" fontId="50" fillId="5" borderId="70" xfId="0" applyFont="1" applyFill="1" applyBorder="1" applyAlignment="1">
      <alignment horizontal="center" vertical="center" wrapText="1" readingOrder="1"/>
    </xf>
    <xf numFmtId="0" fontId="54" fillId="5" borderId="0" xfId="0" applyFont="1" applyFill="1"/>
    <xf numFmtId="0" fontId="38" fillId="28" borderId="6" xfId="0" applyFont="1" applyFill="1" applyBorder="1" applyAlignment="1" applyProtection="1">
      <alignment wrapText="1" readingOrder="1"/>
      <protection hidden="1"/>
    </xf>
    <xf numFmtId="0" fontId="38" fillId="28" borderId="7" xfId="0" applyFont="1" applyFill="1" applyBorder="1" applyAlignment="1" applyProtection="1">
      <alignment wrapText="1" readingOrder="1"/>
      <protection hidden="1"/>
    </xf>
    <xf numFmtId="0" fontId="38" fillId="28" borderId="9" xfId="0" applyFont="1" applyFill="1" applyBorder="1" applyAlignment="1" applyProtection="1">
      <alignment wrapText="1" readingOrder="1"/>
      <protection hidden="1"/>
    </xf>
    <xf numFmtId="0" fontId="38" fillId="28" borderId="52" xfId="0" applyFont="1" applyFill="1" applyBorder="1" applyAlignment="1" applyProtection="1">
      <alignment wrapText="1" readingOrder="1"/>
      <protection hidden="1"/>
    </xf>
    <xf numFmtId="0" fontId="38" fillId="28" borderId="10" xfId="0" applyFont="1" applyFill="1" applyBorder="1" applyAlignment="1" applyProtection="1">
      <alignment wrapText="1" readingOrder="1"/>
      <protection hidden="1"/>
    </xf>
    <xf numFmtId="0" fontId="38" fillId="28" borderId="2" xfId="0" applyFont="1" applyFill="1" applyBorder="1" applyAlignment="1" applyProtection="1">
      <alignment wrapText="1" readingOrder="1"/>
      <protection hidden="1"/>
    </xf>
    <xf numFmtId="0" fontId="38" fillId="28" borderId="3" xfId="0" applyFont="1" applyFill="1" applyBorder="1" applyAlignment="1" applyProtection="1">
      <alignment wrapText="1" readingOrder="1"/>
      <protection hidden="1"/>
    </xf>
    <xf numFmtId="0" fontId="38" fillId="28" borderId="13" xfId="0" applyFont="1" applyFill="1" applyBorder="1" applyAlignment="1" applyProtection="1">
      <alignment wrapText="1" readingOrder="1"/>
      <protection hidden="1"/>
    </xf>
    <xf numFmtId="0" fontId="38" fillId="28" borderId="0" xfId="0" applyFont="1" applyFill="1" applyAlignment="1" applyProtection="1">
      <alignment wrapText="1" readingOrder="1"/>
      <protection hidden="1"/>
    </xf>
    <xf numFmtId="0" fontId="5" fillId="0" borderId="40" xfId="0" applyFont="1" applyBorder="1" applyAlignment="1">
      <alignment horizontal="center" vertical="center" wrapText="1"/>
    </xf>
    <xf numFmtId="0" fontId="9" fillId="0" borderId="40" xfId="0" applyFont="1" applyBorder="1" applyAlignment="1">
      <alignment horizontal="center" vertical="center" wrapText="1"/>
    </xf>
    <xf numFmtId="0" fontId="9" fillId="2" borderId="40" xfId="0" applyFont="1" applyFill="1" applyBorder="1" applyAlignment="1">
      <alignment horizontal="center" vertical="center" textRotation="90" wrapText="1"/>
    </xf>
    <xf numFmtId="0" fontId="10" fillId="0" borderId="40" xfId="0" quotePrefix="1" applyFont="1" applyBorder="1" applyAlignment="1">
      <alignment horizontal="center" vertical="center" wrapText="1"/>
    </xf>
    <xf numFmtId="0" fontId="10" fillId="0" borderId="1" xfId="0" quotePrefix="1" applyFont="1" applyBorder="1" applyAlignment="1">
      <alignment horizontal="center" vertical="center" wrapText="1"/>
    </xf>
    <xf numFmtId="0" fontId="3" fillId="7" borderId="50" xfId="0" applyFont="1" applyFill="1" applyBorder="1" applyAlignment="1">
      <alignment horizontal="center" vertical="center"/>
    </xf>
    <xf numFmtId="0" fontId="10" fillId="0" borderId="25" xfId="0" applyFont="1" applyBorder="1" applyAlignment="1">
      <alignment horizontal="center" vertical="center" textRotation="90"/>
    </xf>
    <xf numFmtId="0" fontId="10" fillId="0" borderId="25" xfId="0" applyFont="1" applyBorder="1" applyAlignment="1">
      <alignment wrapText="1"/>
    </xf>
    <xf numFmtId="0" fontId="10" fillId="0" borderId="72" xfId="0" applyFont="1" applyBorder="1"/>
    <xf numFmtId="9" fontId="10" fillId="0" borderId="41" xfId="1" applyFont="1" applyBorder="1" applyAlignment="1">
      <alignment horizontal="center" vertical="center"/>
    </xf>
    <xf numFmtId="0" fontId="28" fillId="0" borderId="41" xfId="0" applyFont="1" applyBorder="1" applyAlignment="1" applyProtection="1">
      <alignment horizontal="center" vertical="center" textRotation="90" wrapText="1"/>
      <protection hidden="1"/>
    </xf>
    <xf numFmtId="9" fontId="29" fillId="0" borderId="50" xfId="0" applyNumberFormat="1" applyFont="1" applyBorder="1" applyAlignment="1" applyProtection="1">
      <alignment horizontal="center" vertical="center"/>
      <protection hidden="1"/>
    </xf>
    <xf numFmtId="9" fontId="29" fillId="0" borderId="41" xfId="0" applyNumberFormat="1" applyFont="1" applyBorder="1" applyAlignment="1" applyProtection="1">
      <alignment horizontal="center" vertical="center"/>
      <protection hidden="1"/>
    </xf>
    <xf numFmtId="0" fontId="28" fillId="0" borderId="41" xfId="0" applyFont="1" applyBorder="1" applyAlignment="1" applyProtection="1">
      <alignment horizontal="center" vertical="center" textRotation="90"/>
      <protection hidden="1"/>
    </xf>
    <xf numFmtId="0" fontId="10" fillId="0" borderId="72" xfId="0" applyFont="1" applyBorder="1" applyAlignment="1">
      <alignment horizontal="center" vertical="center" textRotation="90"/>
    </xf>
    <xf numFmtId="0" fontId="10" fillId="0" borderId="77" xfId="0" applyFont="1" applyBorder="1" applyAlignment="1">
      <alignment horizontal="center" vertical="center" textRotation="90"/>
    </xf>
    <xf numFmtId="0" fontId="25" fillId="17" borderId="1" xfId="0" applyFont="1" applyFill="1" applyBorder="1" applyAlignment="1">
      <alignment horizontal="center" vertical="center" wrapText="1"/>
    </xf>
    <xf numFmtId="0" fontId="10" fillId="0" borderId="25" xfId="0" applyFont="1" applyBorder="1"/>
    <xf numFmtId="0" fontId="9" fillId="0" borderId="1" xfId="0" applyFont="1" applyBorder="1" applyAlignment="1">
      <alignment horizontal="center" vertical="center" textRotation="90"/>
    </xf>
    <xf numFmtId="0" fontId="29" fillId="0" borderId="1" xfId="0" applyFont="1" applyBorder="1" applyAlignment="1" applyProtection="1">
      <alignment horizontal="center" vertical="center" wrapText="1"/>
      <protection hidden="1"/>
    </xf>
    <xf numFmtId="0" fontId="28" fillId="0" borderId="41" xfId="0" applyFont="1" applyBorder="1" applyAlignment="1" applyProtection="1">
      <alignment horizontal="center" vertical="center" wrapText="1"/>
      <protection hidden="1"/>
    </xf>
    <xf numFmtId="9" fontId="29" fillId="0" borderId="41" xfId="0" applyNumberFormat="1" applyFont="1" applyBorder="1" applyAlignment="1" applyProtection="1">
      <alignment horizontal="center" vertical="center" wrapText="1"/>
      <protection hidden="1"/>
    </xf>
    <xf numFmtId="9" fontId="29" fillId="0" borderId="41" xfId="0" applyNumberFormat="1" applyFont="1" applyBorder="1" applyAlignment="1" applyProtection="1">
      <alignment vertical="center" wrapText="1"/>
      <protection hidden="1"/>
    </xf>
    <xf numFmtId="0" fontId="28" fillId="0" borderId="41" xfId="0" applyFont="1" applyBorder="1" applyAlignment="1" applyProtection="1">
      <alignment horizontal="center" vertical="center"/>
      <protection hidden="1"/>
    </xf>
    <xf numFmtId="0" fontId="10" fillId="0" borderId="41" xfId="0" applyFont="1" applyBorder="1" applyAlignment="1">
      <alignment horizontal="justify" vertical="center"/>
    </xf>
    <xf numFmtId="0" fontId="29" fillId="0" borderId="41" xfId="0" applyFont="1" applyBorder="1" applyAlignment="1" applyProtection="1">
      <alignment horizontal="center" vertical="center"/>
      <protection hidden="1"/>
    </xf>
    <xf numFmtId="0" fontId="10" fillId="0" borderId="41" xfId="0" applyFont="1" applyBorder="1" applyAlignment="1">
      <alignment horizontal="center" vertical="center" textRotation="90"/>
    </xf>
    <xf numFmtId="9" fontId="10" fillId="0" borderId="1" xfId="0" applyNumberFormat="1" applyFont="1" applyBorder="1" applyAlignment="1" applyProtection="1">
      <alignment vertical="center" wrapText="1"/>
      <protection hidden="1"/>
    </xf>
    <xf numFmtId="0" fontId="10" fillId="0" borderId="1" xfId="0" applyFont="1" applyBorder="1" applyAlignment="1">
      <alignment horizontal="center" vertical="center" textRotation="90" wrapText="1"/>
    </xf>
    <xf numFmtId="9" fontId="10" fillId="0" borderId="1" xfId="1" applyFont="1" applyBorder="1" applyAlignment="1">
      <alignment horizontal="center" vertical="center" wrapText="1"/>
    </xf>
    <xf numFmtId="0" fontId="10" fillId="0" borderId="25" xfId="0" applyFont="1" applyBorder="1" applyAlignment="1">
      <alignment horizontal="center" vertical="center" textRotation="90" wrapText="1"/>
    </xf>
    <xf numFmtId="0" fontId="5" fillId="0" borderId="40"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25" xfId="0" applyFont="1" applyBorder="1" applyAlignment="1">
      <alignment horizontal="justify" vertical="center" wrapText="1"/>
    </xf>
    <xf numFmtId="0" fontId="10" fillId="0" borderId="26" xfId="0" applyFont="1" applyBorder="1" applyAlignment="1">
      <alignment horizontal="justify" vertical="center" wrapText="1"/>
    </xf>
    <xf numFmtId="0" fontId="10" fillId="0" borderId="27" xfId="0" applyFont="1" applyBorder="1" applyAlignment="1">
      <alignment horizontal="justify" vertical="center" wrapText="1"/>
    </xf>
    <xf numFmtId="0" fontId="10" fillId="0" borderId="1" xfId="0" applyFont="1" applyBorder="1" applyAlignment="1">
      <alignment horizontal="justify" vertical="center" wrapText="1"/>
    </xf>
    <xf numFmtId="0" fontId="17" fillId="0" borderId="1" xfId="2" quotePrefix="1" applyFont="1" applyBorder="1" applyAlignment="1">
      <alignment horizontal="center" vertical="center"/>
    </xf>
    <xf numFmtId="0" fontId="3" fillId="0" borderId="1"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 xfId="0" applyFont="1" applyBorder="1" applyAlignment="1">
      <alignment horizontal="center" vertical="center"/>
    </xf>
    <xf numFmtId="0" fontId="32" fillId="5" borderId="1"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32" fillId="5" borderId="26" xfId="0" applyFont="1" applyFill="1" applyBorder="1" applyAlignment="1">
      <alignment horizontal="center" vertical="center" wrapText="1"/>
    </xf>
    <xf numFmtId="0" fontId="32" fillId="5" borderId="27"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xf>
    <xf numFmtId="0" fontId="33" fillId="5" borderId="1" xfId="4" applyFont="1" applyFill="1" applyBorder="1" applyAlignment="1">
      <alignment horizontal="center" vertical="center" wrapText="1"/>
    </xf>
    <xf numFmtId="0" fontId="9" fillId="7" borderId="1" xfId="0" applyFont="1" applyFill="1" applyBorder="1" applyAlignment="1">
      <alignment horizontal="center"/>
    </xf>
    <xf numFmtId="0" fontId="3" fillId="7" borderId="1" xfId="0" applyFont="1" applyFill="1" applyBorder="1" applyAlignment="1">
      <alignment horizontal="center" vertical="center"/>
    </xf>
    <xf numFmtId="0" fontId="24" fillId="0" borderId="1" xfId="0" applyFont="1" applyBorder="1" applyAlignment="1">
      <alignment horizontal="center" vertical="center" wrapText="1"/>
    </xf>
    <xf numFmtId="0" fontId="10" fillId="0" borderId="1" xfId="0" applyFont="1" applyBorder="1" applyAlignment="1">
      <alignment horizontal="justify" vertical="center"/>
    </xf>
    <xf numFmtId="0" fontId="10" fillId="0" borderId="40"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41"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4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1" xfId="0" applyFont="1" applyBorder="1" applyAlignment="1">
      <alignment horizontal="center" vertical="center" wrapText="1"/>
    </xf>
    <xf numFmtId="0" fontId="9" fillId="0" borderId="40" xfId="0" applyFont="1" applyBorder="1" applyAlignment="1">
      <alignment horizontal="center" vertical="center" textRotation="90" wrapText="1"/>
    </xf>
    <xf numFmtId="0" fontId="9" fillId="0" borderId="50" xfId="0" applyFont="1" applyBorder="1" applyAlignment="1">
      <alignment horizontal="center" vertical="center" textRotation="90" wrapText="1"/>
    </xf>
    <xf numFmtId="0" fontId="9" fillId="0" borderId="41" xfId="0" applyFont="1" applyBorder="1" applyAlignment="1">
      <alignment horizontal="center" vertical="center" textRotation="90" wrapText="1"/>
    </xf>
    <xf numFmtId="0" fontId="9" fillId="2" borderId="40" xfId="0" applyFont="1" applyFill="1" applyBorder="1" applyAlignment="1">
      <alignment horizontal="center" vertical="center" textRotation="90" wrapText="1"/>
    </xf>
    <xf numFmtId="0" fontId="9" fillId="2" borderId="50" xfId="0" applyFont="1" applyFill="1" applyBorder="1" applyAlignment="1">
      <alignment horizontal="center" vertical="center" textRotation="90" wrapText="1"/>
    </xf>
    <xf numFmtId="0" fontId="9" fillId="2" borderId="41" xfId="0" applyFont="1" applyFill="1" applyBorder="1" applyAlignment="1">
      <alignment horizontal="center" vertical="center" textRotation="90" wrapText="1"/>
    </xf>
    <xf numFmtId="0" fontId="10" fillId="0" borderId="40" xfId="0" quotePrefix="1" applyFont="1" applyBorder="1" applyAlignment="1">
      <alignment horizontal="justify" vertical="center" wrapText="1"/>
    </xf>
    <xf numFmtId="0" fontId="10" fillId="0" borderId="41" xfId="0" quotePrefix="1" applyFont="1" applyBorder="1" applyAlignment="1">
      <alignment horizontal="justify" vertical="center" wrapText="1"/>
    </xf>
    <xf numFmtId="0" fontId="10" fillId="0" borderId="50" xfId="0" applyFont="1" applyBorder="1" applyAlignment="1">
      <alignment horizontal="center" vertical="center"/>
    </xf>
    <xf numFmtId="0" fontId="10" fillId="0" borderId="41" xfId="0" applyFont="1" applyBorder="1" applyAlignment="1">
      <alignment horizontal="center" vertical="center"/>
    </xf>
    <xf numFmtId="0" fontId="10" fillId="0" borderId="50" xfId="0" quotePrefix="1" applyFont="1" applyBorder="1" applyAlignment="1">
      <alignment horizontal="justify" vertical="center" wrapText="1"/>
    </xf>
    <xf numFmtId="0" fontId="10" fillId="0" borderId="40" xfId="0" applyFont="1" applyBorder="1" applyAlignment="1">
      <alignment horizontal="justify" vertical="center" wrapText="1"/>
    </xf>
    <xf numFmtId="0" fontId="10" fillId="0" borderId="50" xfId="0" applyFont="1" applyBorder="1" applyAlignment="1">
      <alignment horizontal="justify" vertical="center" wrapText="1"/>
    </xf>
    <xf numFmtId="0" fontId="10" fillId="0" borderId="41" xfId="0" applyFont="1" applyBorder="1" applyAlignment="1">
      <alignment horizontal="justify" vertical="center" wrapText="1"/>
    </xf>
    <xf numFmtId="0" fontId="10" fillId="0" borderId="40" xfId="0" applyFont="1" applyBorder="1" applyAlignment="1">
      <alignment horizontal="center" vertical="center"/>
    </xf>
    <xf numFmtId="0" fontId="5" fillId="0" borderId="40" xfId="0" applyFont="1" applyBorder="1" applyAlignment="1">
      <alignment horizontal="justify" vertical="center" wrapText="1"/>
    </xf>
    <xf numFmtId="0" fontId="5" fillId="0" borderId="41" xfId="0" applyFont="1" applyBorder="1" applyAlignment="1">
      <alignment horizontal="justify" vertical="center" wrapText="1"/>
    </xf>
    <xf numFmtId="0" fontId="10" fillId="0" borderId="40" xfId="0" applyFont="1" applyBorder="1" applyAlignment="1">
      <alignment vertical="center"/>
    </xf>
    <xf numFmtId="0" fontId="10" fillId="0" borderId="50" xfId="0" applyFont="1" applyBorder="1" applyAlignment="1">
      <alignment vertical="center"/>
    </xf>
    <xf numFmtId="0" fontId="10" fillId="0" borderId="41" xfId="0" applyFont="1" applyBorder="1" applyAlignment="1">
      <alignment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left"/>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3" fillId="26" borderId="18" xfId="0" applyFont="1" applyFill="1" applyBorder="1" applyAlignment="1">
      <alignment horizontal="center" vertical="center" wrapText="1"/>
    </xf>
    <xf numFmtId="0" fontId="9" fillId="0" borderId="1" xfId="0" applyFont="1" applyBorder="1" applyAlignment="1">
      <alignment horizontal="left"/>
    </xf>
    <xf numFmtId="0" fontId="3" fillId="3" borderId="47" xfId="0" applyFont="1" applyFill="1" applyBorder="1" applyAlignment="1">
      <alignment horizontal="center" vertical="center" textRotation="90" wrapText="1"/>
    </xf>
    <xf numFmtId="0" fontId="17" fillId="0" borderId="47" xfId="0" applyFont="1" applyBorder="1" applyAlignment="1">
      <alignment horizontal="center" vertical="center"/>
    </xf>
    <xf numFmtId="0" fontId="3" fillId="3" borderId="8" xfId="0" applyFont="1" applyFill="1" applyBorder="1" applyAlignment="1">
      <alignment horizontal="center" vertical="center" textRotation="90" wrapText="1"/>
    </xf>
    <xf numFmtId="0" fontId="3" fillId="3" borderId="8" xfId="0" applyFont="1" applyFill="1" applyBorder="1" applyAlignment="1">
      <alignment horizontal="center" vertical="center" wrapText="1"/>
    </xf>
    <xf numFmtId="0" fontId="12" fillId="0" borderId="8" xfId="0" applyFont="1" applyBorder="1" applyAlignment="1">
      <alignment horizontal="center"/>
    </xf>
    <xf numFmtId="0" fontId="12" fillId="0" borderId="24" xfId="0" applyFont="1" applyBorder="1" applyAlignment="1">
      <alignment horizontal="center"/>
    </xf>
    <xf numFmtId="0" fontId="3" fillId="3" borderId="9" xfId="0" applyFont="1" applyFill="1" applyBorder="1" applyAlignment="1">
      <alignment horizontal="center" vertical="center" wrapText="1"/>
    </xf>
    <xf numFmtId="0" fontId="12" fillId="0" borderId="10" xfId="0" applyFont="1" applyBorder="1" applyAlignment="1">
      <alignment horizontal="center"/>
    </xf>
    <xf numFmtId="0" fontId="12" fillId="0" borderId="2" xfId="0" applyFont="1" applyBorder="1" applyAlignment="1">
      <alignment horizontal="center"/>
    </xf>
    <xf numFmtId="0" fontId="12" fillId="0" borderId="13" xfId="0" applyFont="1" applyBorder="1" applyAlignment="1">
      <alignment horizontal="center"/>
    </xf>
    <xf numFmtId="0" fontId="9" fillId="0" borderId="1" xfId="0" applyFont="1" applyBorder="1" applyAlignment="1">
      <alignment horizontal="left" vertical="center" wrapText="1"/>
    </xf>
    <xf numFmtId="0" fontId="3" fillId="3" borderId="18" xfId="0" applyFont="1" applyFill="1" applyBorder="1" applyAlignment="1">
      <alignment horizontal="center" vertical="center" textRotation="90" wrapText="1"/>
    </xf>
    <xf numFmtId="0" fontId="3" fillId="3" borderId="18" xfId="0" applyFont="1" applyFill="1" applyBorder="1" applyAlignment="1">
      <alignment horizontal="center" vertical="center" wrapText="1"/>
    </xf>
    <xf numFmtId="0" fontId="3" fillId="24" borderId="18" xfId="0" applyFont="1" applyFill="1" applyBorder="1" applyAlignment="1">
      <alignment horizontal="center" vertical="center" wrapText="1"/>
    </xf>
    <xf numFmtId="0" fontId="3" fillId="25" borderId="42" xfId="0" applyFont="1" applyFill="1" applyBorder="1" applyAlignment="1">
      <alignment horizontal="center" vertical="center" wrapText="1"/>
    </xf>
    <xf numFmtId="0" fontId="3" fillId="25" borderId="10" xfId="0" applyFont="1" applyFill="1" applyBorder="1" applyAlignment="1">
      <alignment horizontal="center" vertical="center" wrapText="1"/>
    </xf>
    <xf numFmtId="0" fontId="3" fillId="26" borderId="18" xfId="0" applyFont="1" applyFill="1" applyBorder="1" applyAlignment="1">
      <alignment horizontal="center" vertical="center" textRotation="255" wrapText="1"/>
    </xf>
    <xf numFmtId="0" fontId="12" fillId="7" borderId="8" xfId="0" applyFont="1" applyFill="1" applyBorder="1" applyAlignment="1">
      <alignment textRotation="255"/>
    </xf>
    <xf numFmtId="0" fontId="9" fillId="7" borderId="79" xfId="0" applyFont="1" applyFill="1" applyBorder="1" applyAlignment="1">
      <alignment horizontal="center" vertical="center" textRotation="90" wrapText="1"/>
    </xf>
    <xf numFmtId="0" fontId="9" fillId="7" borderId="49" xfId="0" applyFont="1" applyFill="1" applyBorder="1" applyAlignment="1">
      <alignment horizontal="center" vertical="center" textRotation="90" wrapText="1"/>
    </xf>
    <xf numFmtId="0" fontId="9" fillId="7" borderId="76" xfId="0" applyFont="1" applyFill="1" applyBorder="1" applyAlignment="1">
      <alignment horizontal="center" vertical="center" textRotation="90" wrapText="1"/>
    </xf>
    <xf numFmtId="0" fontId="9" fillId="0" borderId="51" xfId="0" applyFont="1" applyBorder="1" applyAlignment="1">
      <alignment horizontal="center" vertical="center" wrapText="1"/>
    </xf>
    <xf numFmtId="0" fontId="5" fillId="0" borderId="51" xfId="0" applyFont="1" applyBorder="1" applyAlignment="1">
      <alignment horizontal="center" vertical="center" wrapText="1"/>
    </xf>
    <xf numFmtId="0" fontId="9" fillId="2" borderId="51" xfId="0" applyFont="1" applyFill="1" applyBorder="1" applyAlignment="1">
      <alignment horizontal="center" vertical="center" textRotation="90" wrapText="1"/>
    </xf>
    <xf numFmtId="0" fontId="10" fillId="0" borderId="51" xfId="0" applyFont="1" applyBorder="1" applyAlignment="1">
      <alignment horizontal="justify" vertical="center" wrapText="1"/>
    </xf>
    <xf numFmtId="0" fontId="5" fillId="0" borderId="51" xfId="0" applyFont="1" applyBorder="1" applyAlignment="1">
      <alignment horizontal="justify" vertical="center" wrapText="1"/>
    </xf>
    <xf numFmtId="0" fontId="3" fillId="27" borderId="9" xfId="0" applyFont="1" applyFill="1" applyBorder="1" applyAlignment="1">
      <alignment horizontal="center" vertical="center" wrapText="1"/>
    </xf>
    <xf numFmtId="0" fontId="3" fillId="27" borderId="0" xfId="0" applyFont="1" applyFill="1" applyAlignment="1">
      <alignment horizontal="center" vertical="center" wrapText="1"/>
    </xf>
    <xf numFmtId="0" fontId="3" fillId="27" borderId="10" xfId="0" applyFont="1" applyFill="1" applyBorder="1" applyAlignment="1">
      <alignment horizontal="center" vertical="center" wrapText="1"/>
    </xf>
    <xf numFmtId="0" fontId="3" fillId="27" borderId="2" xfId="0" applyFont="1" applyFill="1" applyBorder="1" applyAlignment="1">
      <alignment horizontal="center" vertical="center" wrapText="1"/>
    </xf>
    <xf numFmtId="0" fontId="3" fillId="27" borderId="3" xfId="0" applyFont="1" applyFill="1" applyBorder="1" applyAlignment="1">
      <alignment horizontal="center" vertical="center" wrapText="1"/>
    </xf>
    <xf numFmtId="0" fontId="3" fillId="27" borderId="13" xfId="0" applyFont="1" applyFill="1" applyBorder="1" applyAlignment="1">
      <alignment horizontal="center" vertical="center" wrapText="1"/>
    </xf>
    <xf numFmtId="0" fontId="9" fillId="7" borderId="71" xfId="0" applyFont="1" applyFill="1" applyBorder="1" applyAlignment="1">
      <alignment horizontal="center" vertical="center" textRotation="90" wrapText="1"/>
    </xf>
    <xf numFmtId="0" fontId="9" fillId="7" borderId="46" xfId="0" applyFont="1" applyFill="1" applyBorder="1" applyAlignment="1">
      <alignment horizontal="center" vertical="center" textRotation="90" wrapText="1"/>
    </xf>
    <xf numFmtId="0" fontId="9" fillId="7" borderId="74" xfId="0" applyFont="1" applyFill="1" applyBorder="1" applyAlignment="1">
      <alignment horizontal="center" vertical="center" textRotation="90" wrapText="1"/>
    </xf>
    <xf numFmtId="0" fontId="9" fillId="7" borderId="78" xfId="0" applyFont="1" applyFill="1" applyBorder="1" applyAlignment="1">
      <alignment horizontal="center" vertical="center" textRotation="90" wrapText="1"/>
    </xf>
    <xf numFmtId="0" fontId="9" fillId="7" borderId="48" xfId="0" applyFont="1" applyFill="1" applyBorder="1" applyAlignment="1">
      <alignment horizontal="center" vertical="center" textRotation="90" wrapText="1"/>
    </xf>
    <xf numFmtId="0" fontId="9" fillId="7" borderId="73" xfId="0" applyFont="1" applyFill="1" applyBorder="1" applyAlignment="1">
      <alignment horizontal="center" vertical="center" textRotation="90" wrapText="1"/>
    </xf>
    <xf numFmtId="0" fontId="3" fillId="3" borderId="0" xfId="0" applyFont="1" applyFill="1" applyAlignment="1">
      <alignment horizontal="center" vertical="center"/>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3" xfId="0" applyFont="1" applyFill="1" applyBorder="1" applyAlignment="1">
      <alignment horizontal="center" vertical="center"/>
    </xf>
    <xf numFmtId="0" fontId="3" fillId="22" borderId="9" xfId="0" applyFont="1" applyFill="1" applyBorder="1" applyAlignment="1">
      <alignment horizontal="center" vertical="center" wrapText="1"/>
    </xf>
    <xf numFmtId="0" fontId="3" fillId="22" borderId="0" xfId="0" applyFont="1" applyFill="1" applyAlignment="1">
      <alignment horizontal="center" vertical="center" wrapText="1"/>
    </xf>
    <xf numFmtId="0" fontId="3" fillId="22" borderId="10" xfId="0" applyFont="1" applyFill="1" applyBorder="1" applyAlignment="1">
      <alignment horizontal="center" vertical="center" wrapText="1"/>
    </xf>
    <xf numFmtId="0" fontId="28" fillId="7" borderId="18" xfId="0" applyFont="1" applyFill="1" applyBorder="1" applyAlignment="1">
      <alignment horizontal="center" vertical="center" textRotation="90"/>
    </xf>
    <xf numFmtId="0" fontId="28" fillId="7" borderId="8" xfId="0" applyFont="1" applyFill="1" applyBorder="1" applyAlignment="1">
      <alignment horizontal="center" vertical="center" textRotation="90"/>
    </xf>
    <xf numFmtId="0" fontId="7" fillId="0" borderId="1" xfId="0" applyFont="1" applyBorder="1" applyAlignment="1">
      <alignment horizontal="left" vertical="center" wrapText="1"/>
    </xf>
    <xf numFmtId="0" fontId="9" fillId="7" borderId="38" xfId="0" applyFont="1" applyFill="1" applyBorder="1" applyAlignment="1">
      <alignment horizontal="center" vertical="center" textRotation="90" wrapText="1"/>
    </xf>
    <xf numFmtId="0" fontId="9" fillId="7" borderId="26" xfId="0" applyFont="1" applyFill="1" applyBorder="1" applyAlignment="1">
      <alignment horizontal="center" vertical="center" textRotation="90" wrapText="1"/>
    </xf>
    <xf numFmtId="0" fontId="9" fillId="7" borderId="75" xfId="0" applyFont="1" applyFill="1" applyBorder="1" applyAlignment="1">
      <alignment horizontal="center" vertical="center" textRotation="90" wrapText="1"/>
    </xf>
    <xf numFmtId="0" fontId="28" fillId="7" borderId="43" xfId="0" applyFont="1" applyFill="1" applyBorder="1" applyAlignment="1">
      <alignment horizontal="center" vertical="center" wrapText="1"/>
    </xf>
    <xf numFmtId="0" fontId="28" fillId="7" borderId="44" xfId="0" applyFont="1" applyFill="1" applyBorder="1" applyAlignment="1">
      <alignment horizontal="center" vertical="center" wrapText="1"/>
    </xf>
    <xf numFmtId="0" fontId="28" fillId="7" borderId="45" xfId="0" applyFont="1" applyFill="1" applyBorder="1" applyAlignment="1">
      <alignment horizontal="center" vertical="center" wrapText="1"/>
    </xf>
    <xf numFmtId="0" fontId="28" fillId="7" borderId="7" xfId="0" applyFont="1" applyFill="1" applyBorder="1" applyAlignment="1">
      <alignment horizontal="center" vertical="center" textRotation="90"/>
    </xf>
    <xf numFmtId="0" fontId="28" fillId="7" borderId="0" xfId="0" applyFont="1" applyFill="1" applyAlignment="1">
      <alignment horizontal="center" vertical="center" textRotation="90"/>
    </xf>
    <xf numFmtId="0" fontId="28" fillId="7" borderId="6" xfId="0" applyFont="1" applyFill="1" applyBorder="1" applyAlignment="1">
      <alignment horizontal="center" vertical="center" textRotation="90"/>
    </xf>
    <xf numFmtId="0" fontId="28" fillId="7" borderId="9" xfId="0" applyFont="1" applyFill="1" applyBorder="1" applyAlignment="1">
      <alignment horizontal="center" vertical="center" textRotation="90"/>
    </xf>
    <xf numFmtId="0" fontId="3" fillId="27" borderId="6" xfId="0" applyFont="1" applyFill="1" applyBorder="1" applyAlignment="1">
      <alignment horizontal="center" vertical="center" wrapText="1"/>
    </xf>
    <xf numFmtId="0" fontId="3" fillId="27" borderId="7" xfId="0" applyFont="1" applyFill="1" applyBorder="1" applyAlignment="1">
      <alignment horizontal="center" vertical="center" wrapText="1"/>
    </xf>
    <xf numFmtId="0" fontId="3" fillId="27" borderId="52"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40" xfId="0" applyFont="1" applyBorder="1" applyAlignment="1">
      <alignment horizontal="center" vertical="center"/>
    </xf>
    <xf numFmtId="0" fontId="10" fillId="0" borderId="40" xfId="0" quotePrefix="1" applyFont="1" applyBorder="1" applyAlignment="1">
      <alignment horizontal="center" vertical="center" wrapText="1"/>
    </xf>
    <xf numFmtId="0" fontId="10" fillId="0" borderId="50" xfId="0" quotePrefix="1" applyFont="1" applyBorder="1" applyAlignment="1">
      <alignment horizontal="center" vertical="center" wrapText="1"/>
    </xf>
    <xf numFmtId="0" fontId="10" fillId="0" borderId="41" xfId="0" quotePrefix="1" applyFont="1" applyBorder="1" applyAlignment="1">
      <alignment horizontal="center" vertical="center" wrapText="1"/>
    </xf>
    <xf numFmtId="0" fontId="5" fillId="0" borderId="1" xfId="0" applyFont="1" applyBorder="1" applyAlignment="1">
      <alignment horizontal="center" vertical="center" wrapText="1"/>
    </xf>
    <xf numFmtId="0" fontId="10" fillId="2" borderId="15"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3" fillId="6" borderId="15" xfId="0" applyFont="1" applyFill="1" applyBorder="1" applyAlignment="1">
      <alignment horizontal="center"/>
    </xf>
    <xf numFmtId="0" fontId="3" fillId="6" borderId="4" xfId="0" applyFont="1" applyFill="1" applyBorder="1" applyAlignment="1">
      <alignment horizontal="center"/>
    </xf>
    <xf numFmtId="0" fontId="18" fillId="9" borderId="21" xfId="0" applyFont="1" applyFill="1" applyBorder="1" applyAlignment="1">
      <alignment horizontal="center" vertical="center" wrapText="1"/>
    </xf>
    <xf numFmtId="0" fontId="3" fillId="16" borderId="15" xfId="0" applyFont="1" applyFill="1" applyBorder="1" applyAlignment="1">
      <alignment horizontal="center"/>
    </xf>
    <xf numFmtId="0" fontId="3" fillId="17" borderId="38" xfId="0" applyFont="1" applyFill="1" applyBorder="1" applyAlignment="1">
      <alignment horizontal="center" vertical="center"/>
    </xf>
    <xf numFmtId="0" fontId="37" fillId="0" borderId="6" xfId="0" applyFont="1" applyBorder="1" applyAlignment="1">
      <alignment horizontal="center" vertical="center" wrapText="1"/>
    </xf>
    <xf numFmtId="0" fontId="37" fillId="0" borderId="7" xfId="0" applyFont="1" applyBorder="1" applyAlignment="1">
      <alignment horizontal="center" vertical="center"/>
    </xf>
    <xf numFmtId="0" fontId="37" fillId="0" borderId="52" xfId="0" applyFont="1" applyBorder="1" applyAlignment="1">
      <alignment horizontal="center" vertical="center"/>
    </xf>
    <xf numFmtId="0" fontId="37" fillId="0" borderId="9" xfId="0" applyFont="1" applyBorder="1" applyAlignment="1">
      <alignment horizontal="center" vertical="center"/>
    </xf>
    <xf numFmtId="0" fontId="37" fillId="0" borderId="0" xfId="0" applyFont="1" applyAlignment="1">
      <alignment horizontal="center" vertical="center"/>
    </xf>
    <xf numFmtId="0" fontId="37" fillId="0" borderId="10"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13" xfId="0" applyFont="1" applyBorder="1" applyAlignment="1">
      <alignment horizontal="center" vertical="center"/>
    </xf>
    <xf numFmtId="0" fontId="37" fillId="0" borderId="7" xfId="0" applyFont="1" applyBorder="1" applyAlignment="1">
      <alignment horizontal="center" vertical="center" wrapText="1"/>
    </xf>
    <xf numFmtId="0" fontId="38" fillId="28" borderId="6" xfId="0" applyFont="1" applyFill="1" applyBorder="1" applyAlignment="1" applyProtection="1">
      <alignment horizontal="center" wrapText="1" readingOrder="1"/>
      <protection hidden="1"/>
    </xf>
    <xf numFmtId="0" fontId="38" fillId="28" borderId="7" xfId="0" applyFont="1" applyFill="1" applyBorder="1" applyAlignment="1" applyProtection="1">
      <alignment horizontal="center" wrapText="1" readingOrder="1"/>
      <protection hidden="1"/>
    </xf>
    <xf numFmtId="0" fontId="38" fillId="28" borderId="52" xfId="0" applyFont="1" applyFill="1" applyBorder="1" applyAlignment="1" applyProtection="1">
      <alignment horizontal="center" wrapText="1" readingOrder="1"/>
      <protection hidden="1"/>
    </xf>
    <xf numFmtId="0" fontId="38" fillId="28" borderId="9" xfId="0" applyFont="1" applyFill="1" applyBorder="1" applyAlignment="1" applyProtection="1">
      <alignment horizontal="center" wrapText="1" readingOrder="1"/>
      <protection hidden="1"/>
    </xf>
    <xf numFmtId="0" fontId="38" fillId="28" borderId="0" xfId="0" applyFont="1" applyFill="1" applyAlignment="1" applyProtection="1">
      <alignment horizontal="center" wrapText="1" readingOrder="1"/>
      <protection hidden="1"/>
    </xf>
    <xf numFmtId="0" fontId="38" fillId="28" borderId="10" xfId="0" applyFont="1" applyFill="1" applyBorder="1" applyAlignment="1" applyProtection="1">
      <alignment horizontal="center" wrapText="1" readingOrder="1"/>
      <protection hidden="1"/>
    </xf>
    <xf numFmtId="0" fontId="38" fillId="28" borderId="2" xfId="0" applyFont="1" applyFill="1" applyBorder="1" applyAlignment="1" applyProtection="1">
      <alignment horizontal="center" wrapText="1" readingOrder="1"/>
      <protection hidden="1"/>
    </xf>
    <xf numFmtId="0" fontId="38" fillId="28" borderId="3" xfId="0" applyFont="1" applyFill="1" applyBorder="1" applyAlignment="1" applyProtection="1">
      <alignment horizontal="center" wrapText="1" readingOrder="1"/>
      <protection hidden="1"/>
    </xf>
    <xf numFmtId="0" fontId="38" fillId="28" borderId="13" xfId="0" applyFont="1" applyFill="1" applyBorder="1" applyAlignment="1" applyProtection="1">
      <alignment horizontal="center" wrapText="1" readingOrder="1"/>
      <protection hidden="1"/>
    </xf>
    <xf numFmtId="0" fontId="39" fillId="17" borderId="53" xfId="0" applyFont="1" applyFill="1" applyBorder="1" applyAlignment="1">
      <alignment horizontal="center" vertical="center" wrapText="1" readingOrder="1"/>
    </xf>
    <xf numFmtId="0" fontId="39" fillId="17" borderId="54" xfId="0" applyFont="1" applyFill="1" applyBorder="1" applyAlignment="1">
      <alignment horizontal="center" vertical="center" wrapText="1" readingOrder="1"/>
    </xf>
    <xf numFmtId="0" fontId="39" fillId="17" borderId="55" xfId="0" applyFont="1" applyFill="1" applyBorder="1" applyAlignment="1">
      <alignment horizontal="center" vertical="center" wrapText="1" readingOrder="1"/>
    </xf>
    <xf numFmtId="0" fontId="39" fillId="17" borderId="56" xfId="0" applyFont="1" applyFill="1" applyBorder="1" applyAlignment="1">
      <alignment horizontal="center" vertical="center" wrapText="1" readingOrder="1"/>
    </xf>
    <xf numFmtId="0" fontId="39" fillId="17" borderId="0" xfId="0" applyFont="1" applyFill="1" applyAlignment="1">
      <alignment horizontal="center" vertical="center" wrapText="1" readingOrder="1"/>
    </xf>
    <xf numFmtId="0" fontId="39" fillId="17" borderId="57" xfId="0" applyFont="1" applyFill="1" applyBorder="1" applyAlignment="1">
      <alignment horizontal="center" vertical="center" wrapText="1" readingOrder="1"/>
    </xf>
    <xf numFmtId="0" fontId="39" fillId="17" borderId="58" xfId="0" applyFont="1" applyFill="1" applyBorder="1" applyAlignment="1">
      <alignment horizontal="center" vertical="center" wrapText="1" readingOrder="1"/>
    </xf>
    <xf numFmtId="0" fontId="39" fillId="17" borderId="59" xfId="0" applyFont="1" applyFill="1" applyBorder="1" applyAlignment="1">
      <alignment horizontal="center" vertical="center" wrapText="1" readingOrder="1"/>
    </xf>
    <xf numFmtId="0" fontId="39" fillId="17" borderId="60" xfId="0" applyFont="1" applyFill="1" applyBorder="1" applyAlignment="1">
      <alignment horizontal="center" vertical="center" wrapText="1" readingOrder="1"/>
    </xf>
    <xf numFmtId="0" fontId="38" fillId="17" borderId="6" xfId="0" applyFont="1" applyFill="1" applyBorder="1" applyAlignment="1" applyProtection="1">
      <alignment horizontal="center" wrapText="1" readingOrder="1"/>
      <protection hidden="1"/>
    </xf>
    <xf numFmtId="0" fontId="38" fillId="17" borderId="7" xfId="0" applyFont="1" applyFill="1" applyBorder="1" applyAlignment="1" applyProtection="1">
      <alignment horizontal="center" wrapText="1" readingOrder="1"/>
      <protection hidden="1"/>
    </xf>
    <xf numFmtId="0" fontId="38" fillId="17" borderId="52" xfId="0" applyFont="1" applyFill="1" applyBorder="1" applyAlignment="1" applyProtection="1">
      <alignment horizontal="center" wrapText="1" readingOrder="1"/>
      <protection hidden="1"/>
    </xf>
    <xf numFmtId="0" fontId="38" fillId="17" borderId="9" xfId="0" applyFont="1" applyFill="1" applyBorder="1" applyAlignment="1" applyProtection="1">
      <alignment horizontal="center" wrapText="1" readingOrder="1"/>
      <protection hidden="1"/>
    </xf>
    <xf numFmtId="0" fontId="38" fillId="17" borderId="0" xfId="0" applyFont="1" applyFill="1" applyAlignment="1" applyProtection="1">
      <alignment horizontal="center" wrapText="1" readingOrder="1"/>
      <protection hidden="1"/>
    </xf>
    <xf numFmtId="0" fontId="38" fillId="17" borderId="10" xfId="0" applyFont="1" applyFill="1" applyBorder="1" applyAlignment="1" applyProtection="1">
      <alignment horizontal="center" wrapText="1" readingOrder="1"/>
      <protection hidden="1"/>
    </xf>
    <xf numFmtId="0" fontId="38" fillId="17" borderId="2" xfId="0" applyFont="1" applyFill="1" applyBorder="1" applyAlignment="1" applyProtection="1">
      <alignment horizontal="center" wrapText="1" readingOrder="1"/>
      <protection hidden="1"/>
    </xf>
    <xf numFmtId="0" fontId="38" fillId="17" borderId="3" xfId="0" applyFont="1" applyFill="1" applyBorder="1" applyAlignment="1" applyProtection="1">
      <alignment horizontal="center" wrapText="1" readingOrder="1"/>
      <protection hidden="1"/>
    </xf>
    <xf numFmtId="0" fontId="38" fillId="17" borderId="13" xfId="0" applyFont="1" applyFill="1" applyBorder="1" applyAlignment="1" applyProtection="1">
      <alignment horizontal="center" wrapText="1" readingOrder="1"/>
      <protection hidden="1"/>
    </xf>
    <xf numFmtId="0" fontId="39" fillId="28" borderId="53" xfId="0" applyFont="1" applyFill="1" applyBorder="1" applyAlignment="1">
      <alignment horizontal="center" vertical="center" wrapText="1" readingOrder="1"/>
    </xf>
    <xf numFmtId="0" fontId="39" fillId="28" borderId="54" xfId="0" applyFont="1" applyFill="1" applyBorder="1" applyAlignment="1">
      <alignment horizontal="center" vertical="center" wrapText="1" readingOrder="1"/>
    </xf>
    <xf numFmtId="0" fontId="39" fillId="28" borderId="55" xfId="0" applyFont="1" applyFill="1" applyBorder="1" applyAlignment="1">
      <alignment horizontal="center" vertical="center" wrapText="1" readingOrder="1"/>
    </xf>
    <xf numFmtId="0" fontId="39" fillId="28" borderId="56" xfId="0" applyFont="1" applyFill="1" applyBorder="1" applyAlignment="1">
      <alignment horizontal="center" vertical="center" wrapText="1" readingOrder="1"/>
    </xf>
    <xf numFmtId="0" fontId="39" fillId="28" borderId="0" xfId="0" applyFont="1" applyFill="1" applyAlignment="1">
      <alignment horizontal="center" vertical="center" wrapText="1" readingOrder="1"/>
    </xf>
    <xf numFmtId="0" fontId="39" fillId="28" borderId="57" xfId="0" applyFont="1" applyFill="1" applyBorder="1" applyAlignment="1">
      <alignment horizontal="center" vertical="center" wrapText="1" readingOrder="1"/>
    </xf>
    <xf numFmtId="0" fontId="39" fillId="28" borderId="58" xfId="0" applyFont="1" applyFill="1" applyBorder="1" applyAlignment="1">
      <alignment horizontal="center" vertical="center" wrapText="1" readingOrder="1"/>
    </xf>
    <xf numFmtId="0" fontId="39" fillId="28" borderId="59" xfId="0" applyFont="1" applyFill="1" applyBorder="1" applyAlignment="1">
      <alignment horizontal="center" vertical="center" wrapText="1" readingOrder="1"/>
    </xf>
    <xf numFmtId="0" fontId="39" fillId="28" borderId="60" xfId="0" applyFont="1" applyFill="1" applyBorder="1" applyAlignment="1">
      <alignment horizontal="center" vertical="center" wrapText="1" readingOrder="1"/>
    </xf>
    <xf numFmtId="0" fontId="38" fillId="29" borderId="6" xfId="0" applyFont="1" applyFill="1" applyBorder="1" applyAlignment="1" applyProtection="1">
      <alignment horizontal="center" wrapText="1" readingOrder="1"/>
      <protection hidden="1"/>
    </xf>
    <xf numFmtId="0" fontId="38" fillId="29" borderId="7" xfId="0" applyFont="1" applyFill="1" applyBorder="1" applyAlignment="1" applyProtection="1">
      <alignment horizontal="center" wrapText="1" readingOrder="1"/>
      <protection hidden="1"/>
    </xf>
    <xf numFmtId="0" fontId="38" fillId="29" borderId="52" xfId="0" applyFont="1" applyFill="1" applyBorder="1" applyAlignment="1" applyProtection="1">
      <alignment horizontal="center" wrapText="1" readingOrder="1"/>
      <protection hidden="1"/>
    </xf>
    <xf numFmtId="0" fontId="38" fillId="29" borderId="9" xfId="0" applyFont="1" applyFill="1" applyBorder="1" applyAlignment="1" applyProtection="1">
      <alignment horizontal="center" wrapText="1" readingOrder="1"/>
      <protection hidden="1"/>
    </xf>
    <xf numFmtId="0" fontId="38" fillId="29" borderId="0" xfId="0" applyFont="1" applyFill="1" applyAlignment="1" applyProtection="1">
      <alignment horizontal="center" wrapText="1" readingOrder="1"/>
      <protection hidden="1"/>
    </xf>
    <xf numFmtId="0" fontId="38" fillId="29" borderId="10" xfId="0" applyFont="1" applyFill="1" applyBorder="1" applyAlignment="1" applyProtection="1">
      <alignment horizontal="center" wrapText="1" readingOrder="1"/>
      <protection hidden="1"/>
    </xf>
    <xf numFmtId="0" fontId="38" fillId="29" borderId="2" xfId="0" applyFont="1" applyFill="1" applyBorder="1" applyAlignment="1" applyProtection="1">
      <alignment horizontal="center" wrapText="1" readingOrder="1"/>
      <protection hidden="1"/>
    </xf>
    <xf numFmtId="0" fontId="38" fillId="29" borderId="3" xfId="0" applyFont="1" applyFill="1" applyBorder="1" applyAlignment="1" applyProtection="1">
      <alignment horizontal="center" wrapText="1" readingOrder="1"/>
      <protection hidden="1"/>
    </xf>
    <xf numFmtId="0" fontId="38" fillId="29" borderId="13" xfId="0" applyFont="1" applyFill="1" applyBorder="1" applyAlignment="1" applyProtection="1">
      <alignment horizontal="center" wrapText="1" readingOrder="1"/>
      <protection hidden="1"/>
    </xf>
    <xf numFmtId="0" fontId="38" fillId="32" borderId="6" xfId="0" applyFont="1" applyFill="1" applyBorder="1" applyAlignment="1" applyProtection="1">
      <alignment horizontal="center" vertical="center" wrapText="1" readingOrder="1"/>
      <protection hidden="1"/>
    </xf>
    <xf numFmtId="0" fontId="38" fillId="32" borderId="7" xfId="0" applyFont="1" applyFill="1" applyBorder="1" applyAlignment="1" applyProtection="1">
      <alignment horizontal="center" vertical="center" wrapText="1" readingOrder="1"/>
      <protection hidden="1"/>
    </xf>
    <xf numFmtId="0" fontId="38" fillId="32" borderId="52" xfId="0" applyFont="1" applyFill="1" applyBorder="1" applyAlignment="1" applyProtection="1">
      <alignment horizontal="center" vertical="center" wrapText="1" readingOrder="1"/>
      <protection hidden="1"/>
    </xf>
    <xf numFmtId="0" fontId="38" fillId="32" borderId="9" xfId="0" applyFont="1" applyFill="1" applyBorder="1" applyAlignment="1" applyProtection="1">
      <alignment horizontal="center" vertical="center" wrapText="1" readingOrder="1"/>
      <protection hidden="1"/>
    </xf>
    <xf numFmtId="0" fontId="38" fillId="32" borderId="0" xfId="0" applyFont="1" applyFill="1" applyAlignment="1" applyProtection="1">
      <alignment horizontal="center" vertical="center" wrapText="1" readingOrder="1"/>
      <protection hidden="1"/>
    </xf>
    <xf numFmtId="0" fontId="38" fillId="32" borderId="10" xfId="0" applyFont="1" applyFill="1" applyBorder="1" applyAlignment="1" applyProtection="1">
      <alignment horizontal="center" vertical="center" wrapText="1" readingOrder="1"/>
      <protection hidden="1"/>
    </xf>
    <xf numFmtId="0" fontId="38" fillId="32" borderId="2" xfId="0" applyFont="1" applyFill="1" applyBorder="1" applyAlignment="1" applyProtection="1">
      <alignment horizontal="center" vertical="center" wrapText="1" readingOrder="1"/>
      <protection hidden="1"/>
    </xf>
    <xf numFmtId="0" fontId="38" fillId="32" borderId="3" xfId="0" applyFont="1" applyFill="1" applyBorder="1" applyAlignment="1" applyProtection="1">
      <alignment horizontal="center" vertical="center" wrapText="1" readingOrder="1"/>
      <protection hidden="1"/>
    </xf>
    <xf numFmtId="0" fontId="38" fillId="32" borderId="13" xfId="0" applyFont="1" applyFill="1" applyBorder="1" applyAlignment="1" applyProtection="1">
      <alignment horizontal="center" vertical="center" wrapText="1" readingOrder="1"/>
      <protection hidden="1"/>
    </xf>
    <xf numFmtId="0" fontId="38" fillId="28" borderId="6" xfId="0" applyFont="1" applyFill="1" applyBorder="1" applyAlignment="1" applyProtection="1">
      <alignment horizontal="center" vertical="center" wrapText="1" readingOrder="1"/>
      <protection hidden="1"/>
    </xf>
    <xf numFmtId="0" fontId="38" fillId="28" borderId="7" xfId="0" applyFont="1" applyFill="1" applyBorder="1" applyAlignment="1" applyProtection="1">
      <alignment horizontal="center" vertical="center" wrapText="1" readingOrder="1"/>
      <protection hidden="1"/>
    </xf>
    <xf numFmtId="0" fontId="38" fillId="28" borderId="52" xfId="0" applyFont="1" applyFill="1" applyBorder="1" applyAlignment="1" applyProtection="1">
      <alignment horizontal="center" vertical="center" wrapText="1" readingOrder="1"/>
      <protection hidden="1"/>
    </xf>
    <xf numFmtId="0" fontId="38" fillId="28" borderId="9" xfId="0" applyFont="1" applyFill="1" applyBorder="1" applyAlignment="1" applyProtection="1">
      <alignment horizontal="center" vertical="center" wrapText="1" readingOrder="1"/>
      <protection hidden="1"/>
    </xf>
    <xf numFmtId="0" fontId="38" fillId="28" borderId="0" xfId="0" applyFont="1" applyFill="1" applyAlignment="1" applyProtection="1">
      <alignment horizontal="center" vertical="center" wrapText="1" readingOrder="1"/>
      <protection hidden="1"/>
    </xf>
    <xf numFmtId="0" fontId="38" fillId="28" borderId="10" xfId="0" applyFont="1" applyFill="1" applyBorder="1" applyAlignment="1" applyProtection="1">
      <alignment horizontal="center" vertical="center" wrapText="1" readingOrder="1"/>
      <protection hidden="1"/>
    </xf>
    <xf numFmtId="0" fontId="38" fillId="28" borderId="2" xfId="0" applyFont="1" applyFill="1" applyBorder="1" applyAlignment="1" applyProtection="1">
      <alignment horizontal="center" vertical="center" wrapText="1" readingOrder="1"/>
      <protection hidden="1"/>
    </xf>
    <xf numFmtId="0" fontId="38" fillId="28" borderId="3" xfId="0" applyFont="1" applyFill="1" applyBorder="1" applyAlignment="1" applyProtection="1">
      <alignment horizontal="center" vertical="center" wrapText="1" readingOrder="1"/>
      <protection hidden="1"/>
    </xf>
    <xf numFmtId="0" fontId="38" fillId="28" borderId="13" xfId="0" applyFont="1" applyFill="1" applyBorder="1" applyAlignment="1" applyProtection="1">
      <alignment horizontal="center" vertical="center" wrapText="1" readingOrder="1"/>
      <protection hidden="1"/>
    </xf>
    <xf numFmtId="0" fontId="39" fillId="29" borderId="53" xfId="0" applyFont="1" applyFill="1" applyBorder="1" applyAlignment="1">
      <alignment horizontal="center" vertical="center" wrapText="1" readingOrder="1"/>
    </xf>
    <xf numFmtId="0" fontId="39" fillId="29" borderId="54" xfId="0" applyFont="1" applyFill="1" applyBorder="1" applyAlignment="1">
      <alignment horizontal="center" vertical="center" wrapText="1" readingOrder="1"/>
    </xf>
    <xf numFmtId="0" fontId="39" fillId="29" borderId="55" xfId="0" applyFont="1" applyFill="1" applyBorder="1" applyAlignment="1">
      <alignment horizontal="center" vertical="center" wrapText="1" readingOrder="1"/>
    </xf>
    <xf numFmtId="0" fontId="39" fillId="29" borderId="56" xfId="0" applyFont="1" applyFill="1" applyBorder="1" applyAlignment="1">
      <alignment horizontal="center" vertical="center" wrapText="1" readingOrder="1"/>
    </xf>
    <xf numFmtId="0" fontId="39" fillId="29" borderId="0" xfId="0" applyFont="1" applyFill="1" applyAlignment="1">
      <alignment horizontal="center" vertical="center" wrapText="1" readingOrder="1"/>
    </xf>
    <xf numFmtId="0" fontId="39" fillId="29" borderId="57" xfId="0" applyFont="1" applyFill="1" applyBorder="1" applyAlignment="1">
      <alignment horizontal="center" vertical="center" wrapText="1" readingOrder="1"/>
    </xf>
    <xf numFmtId="0" fontId="39" fillId="29" borderId="58" xfId="0" applyFont="1" applyFill="1" applyBorder="1" applyAlignment="1">
      <alignment horizontal="center" vertical="center" wrapText="1" readingOrder="1"/>
    </xf>
    <xf numFmtId="0" fontId="39" fillId="29" borderId="59" xfId="0" applyFont="1" applyFill="1" applyBorder="1" applyAlignment="1">
      <alignment horizontal="center" vertical="center" wrapText="1" readingOrder="1"/>
    </xf>
    <xf numFmtId="0" fontId="39" fillId="29" borderId="60" xfId="0" applyFont="1" applyFill="1" applyBorder="1" applyAlignment="1">
      <alignment horizontal="center" vertical="center" wrapText="1" readingOrder="1"/>
    </xf>
    <xf numFmtId="0" fontId="39" fillId="32" borderId="53" xfId="0" applyFont="1" applyFill="1" applyBorder="1" applyAlignment="1">
      <alignment horizontal="center" vertical="center" wrapText="1" readingOrder="1"/>
    </xf>
    <xf numFmtId="0" fontId="39" fillId="32" borderId="54" xfId="0" applyFont="1" applyFill="1" applyBorder="1" applyAlignment="1">
      <alignment horizontal="center" vertical="center" wrapText="1" readingOrder="1"/>
    </xf>
    <xf numFmtId="0" fontId="39" fillId="32" borderId="55" xfId="0" applyFont="1" applyFill="1" applyBorder="1" applyAlignment="1">
      <alignment horizontal="center" vertical="center" wrapText="1" readingOrder="1"/>
    </xf>
    <xf numFmtId="0" fontId="39" fillId="32" borderId="56" xfId="0" applyFont="1" applyFill="1" applyBorder="1" applyAlignment="1">
      <alignment horizontal="center" vertical="center" wrapText="1" readingOrder="1"/>
    </xf>
    <xf numFmtId="0" fontId="39" fillId="32" borderId="0" xfId="0" applyFont="1" applyFill="1" applyAlignment="1">
      <alignment horizontal="center" vertical="center" wrapText="1" readingOrder="1"/>
    </xf>
    <xf numFmtId="0" fontId="39" fillId="32" borderId="57" xfId="0" applyFont="1" applyFill="1" applyBorder="1" applyAlignment="1">
      <alignment horizontal="center" vertical="center" wrapText="1" readingOrder="1"/>
    </xf>
    <xf numFmtId="0" fontId="39" fillId="32" borderId="58" xfId="0" applyFont="1" applyFill="1" applyBorder="1" applyAlignment="1">
      <alignment horizontal="center" vertical="center" wrapText="1" readingOrder="1"/>
    </xf>
    <xf numFmtId="0" fontId="39" fillId="32" borderId="59" xfId="0" applyFont="1" applyFill="1" applyBorder="1" applyAlignment="1">
      <alignment horizontal="center" vertical="center" wrapText="1" readingOrder="1"/>
    </xf>
    <xf numFmtId="0" fontId="39" fillId="32" borderId="60" xfId="0" applyFont="1" applyFill="1" applyBorder="1" applyAlignment="1">
      <alignment horizontal="center" vertical="center" wrapText="1" readingOrder="1"/>
    </xf>
    <xf numFmtId="0" fontId="35" fillId="0" borderId="0" xfId="0" applyFont="1" applyAlignment="1">
      <alignment horizontal="center" vertical="center" wrapText="1"/>
    </xf>
    <xf numFmtId="0" fontId="36" fillId="31" borderId="0" xfId="0" applyFont="1" applyFill="1" applyAlignment="1">
      <alignment horizontal="center" vertical="center" wrapText="1" readingOrder="1"/>
    </xf>
    <xf numFmtId="0" fontId="36" fillId="31" borderId="0" xfId="0" applyFont="1" applyFill="1" applyAlignment="1">
      <alignment horizontal="center" vertical="center" textRotation="90" wrapText="1" readingOrder="1"/>
    </xf>
    <xf numFmtId="0" fontId="36" fillId="31" borderId="10" xfId="0" applyFont="1" applyFill="1" applyBorder="1" applyAlignment="1">
      <alignment horizontal="center" vertical="center" textRotation="90" wrapText="1" readingOrder="1"/>
    </xf>
    <xf numFmtId="0" fontId="43" fillId="0" borderId="6" xfId="0" applyFont="1" applyBorder="1" applyAlignment="1">
      <alignment horizontal="center" vertical="center" wrapText="1"/>
    </xf>
    <xf numFmtId="0" fontId="43" fillId="0" borderId="7" xfId="0" applyFont="1" applyBorder="1" applyAlignment="1">
      <alignment horizontal="center" vertical="center"/>
    </xf>
    <xf numFmtId="0" fontId="43" fillId="0" borderId="52" xfId="0" applyFont="1" applyBorder="1" applyAlignment="1">
      <alignment horizontal="center" vertical="center"/>
    </xf>
    <xf numFmtId="0" fontId="43" fillId="0" borderId="9" xfId="0" applyFont="1" applyBorder="1" applyAlignment="1">
      <alignment horizontal="center" vertical="center"/>
    </xf>
    <xf numFmtId="0" fontId="43" fillId="0" borderId="0" xfId="0" applyFont="1" applyAlignment="1">
      <alignment horizontal="center" vertical="center"/>
    </xf>
    <xf numFmtId="0" fontId="43" fillId="0" borderId="10"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13" xfId="0" applyFont="1" applyBorder="1" applyAlignment="1">
      <alignment horizontal="center" vertical="center"/>
    </xf>
    <xf numFmtId="0" fontId="43" fillId="0" borderId="7" xfId="0" applyFont="1" applyBorder="1" applyAlignment="1">
      <alignment horizontal="center" vertical="center" wrapText="1"/>
    </xf>
    <xf numFmtId="0" fontId="41" fillId="0" borderId="0" xfId="0" applyFont="1" applyAlignment="1">
      <alignment horizontal="center" vertical="center" wrapText="1"/>
    </xf>
    <xf numFmtId="0" fontId="42" fillId="0" borderId="0" xfId="0" applyFont="1" applyAlignment="1">
      <alignment horizontal="center" vertical="center" wrapText="1"/>
    </xf>
    <xf numFmtId="0" fontId="44" fillId="29" borderId="53" xfId="0" applyFont="1" applyFill="1" applyBorder="1" applyAlignment="1">
      <alignment horizontal="center" vertical="center" wrapText="1" readingOrder="1"/>
    </xf>
    <xf numFmtId="0" fontId="44" fillId="29" borderId="54" xfId="0" applyFont="1" applyFill="1" applyBorder="1" applyAlignment="1">
      <alignment horizontal="center" vertical="center" wrapText="1" readingOrder="1"/>
    </xf>
    <xf numFmtId="0" fontId="44" fillId="29" borderId="55" xfId="0" applyFont="1" applyFill="1" applyBorder="1" applyAlignment="1">
      <alignment horizontal="center" vertical="center" wrapText="1" readingOrder="1"/>
    </xf>
    <xf numFmtId="0" fontId="44" fillId="29" borderId="56" xfId="0" applyFont="1" applyFill="1" applyBorder="1" applyAlignment="1">
      <alignment horizontal="center" vertical="center" wrapText="1" readingOrder="1"/>
    </xf>
    <xf numFmtId="0" fontId="44" fillId="29" borderId="0" xfId="0" applyFont="1" applyFill="1" applyAlignment="1">
      <alignment horizontal="center" vertical="center" wrapText="1" readingOrder="1"/>
    </xf>
    <xf numFmtId="0" fontId="44" fillId="29" borderId="57" xfId="0" applyFont="1" applyFill="1" applyBorder="1" applyAlignment="1">
      <alignment horizontal="center" vertical="center" wrapText="1" readingOrder="1"/>
    </xf>
    <xf numFmtId="0" fontId="44" fillId="29" borderId="58" xfId="0" applyFont="1" applyFill="1" applyBorder="1" applyAlignment="1">
      <alignment horizontal="center" vertical="center" wrapText="1" readingOrder="1"/>
    </xf>
    <xf numFmtId="0" fontId="44" fillId="29" borderId="59" xfId="0" applyFont="1" applyFill="1" applyBorder="1" applyAlignment="1">
      <alignment horizontal="center" vertical="center" wrapText="1" readingOrder="1"/>
    </xf>
    <xf numFmtId="0" fontId="44" fillId="29" borderId="60" xfId="0" applyFont="1" applyFill="1" applyBorder="1" applyAlignment="1">
      <alignment horizontal="center" vertical="center" wrapText="1" readingOrder="1"/>
    </xf>
    <xf numFmtId="0" fontId="43" fillId="0" borderId="9" xfId="0" applyFont="1" applyBorder="1" applyAlignment="1">
      <alignment horizontal="center" vertical="center" wrapText="1"/>
    </xf>
    <xf numFmtId="0" fontId="44" fillId="32" borderId="53" xfId="0" applyFont="1" applyFill="1" applyBorder="1" applyAlignment="1">
      <alignment horizontal="center" vertical="center" wrapText="1" readingOrder="1"/>
    </xf>
    <xf numFmtId="0" fontId="44" fillId="32" borderId="54" xfId="0" applyFont="1" applyFill="1" applyBorder="1" applyAlignment="1">
      <alignment horizontal="center" vertical="center" wrapText="1" readingOrder="1"/>
    </xf>
    <xf numFmtId="0" fontId="44" fillId="32" borderId="55" xfId="0" applyFont="1" applyFill="1" applyBorder="1" applyAlignment="1">
      <alignment horizontal="center" vertical="center" wrapText="1" readingOrder="1"/>
    </xf>
    <xf numFmtId="0" fontId="44" fillId="32" borderId="56" xfId="0" applyFont="1" applyFill="1" applyBorder="1" applyAlignment="1">
      <alignment horizontal="center" vertical="center" wrapText="1" readingOrder="1"/>
    </xf>
    <xf numFmtId="0" fontId="44" fillId="32" borderId="0" xfId="0" applyFont="1" applyFill="1" applyAlignment="1">
      <alignment horizontal="center" vertical="center" wrapText="1" readingOrder="1"/>
    </xf>
    <xf numFmtId="0" fontId="44" fillId="32" borderId="57" xfId="0" applyFont="1" applyFill="1" applyBorder="1" applyAlignment="1">
      <alignment horizontal="center" vertical="center" wrapText="1" readingOrder="1"/>
    </xf>
    <xf numFmtId="0" fontId="44" fillId="32" borderId="58" xfId="0" applyFont="1" applyFill="1" applyBorder="1" applyAlignment="1">
      <alignment horizontal="center" vertical="center" wrapText="1" readingOrder="1"/>
    </xf>
    <xf numFmtId="0" fontId="44" fillId="32" borderId="59" xfId="0" applyFont="1" applyFill="1" applyBorder="1" applyAlignment="1">
      <alignment horizontal="center" vertical="center" wrapText="1" readingOrder="1"/>
    </xf>
    <xf numFmtId="0" fontId="44" fillId="32" borderId="60" xfId="0" applyFont="1" applyFill="1" applyBorder="1" applyAlignment="1">
      <alignment horizontal="center" vertical="center" wrapText="1" readingOrder="1"/>
    </xf>
    <xf numFmtId="0" fontId="44" fillId="28" borderId="53" xfId="0" applyFont="1" applyFill="1" applyBorder="1" applyAlignment="1">
      <alignment horizontal="center" vertical="center" wrapText="1" readingOrder="1"/>
    </xf>
    <xf numFmtId="0" fontId="44" fillId="28" borderId="54" xfId="0" applyFont="1" applyFill="1" applyBorder="1" applyAlignment="1">
      <alignment horizontal="center" vertical="center" wrapText="1" readingOrder="1"/>
    </xf>
    <xf numFmtId="0" fontId="44" fillId="28" borderId="55" xfId="0" applyFont="1" applyFill="1" applyBorder="1" applyAlignment="1">
      <alignment horizontal="center" vertical="center" wrapText="1" readingOrder="1"/>
    </xf>
    <xf numFmtId="0" fontId="44" fillId="28" borderId="56" xfId="0" applyFont="1" applyFill="1" applyBorder="1" applyAlignment="1">
      <alignment horizontal="center" vertical="center" wrapText="1" readingOrder="1"/>
    </xf>
    <xf numFmtId="0" fontId="44" fillId="28" borderId="0" xfId="0" applyFont="1" applyFill="1" applyAlignment="1">
      <alignment horizontal="center" vertical="center" wrapText="1" readingOrder="1"/>
    </xf>
    <xf numFmtId="0" fontId="44" fillId="28" borderId="57" xfId="0" applyFont="1" applyFill="1" applyBorder="1" applyAlignment="1">
      <alignment horizontal="center" vertical="center" wrapText="1" readingOrder="1"/>
    </xf>
    <xf numFmtId="0" fontId="44" fillId="28" borderId="58" xfId="0" applyFont="1" applyFill="1" applyBorder="1" applyAlignment="1">
      <alignment horizontal="center" vertical="center" wrapText="1" readingOrder="1"/>
    </xf>
    <xf numFmtId="0" fontId="44" fillId="28" borderId="59" xfId="0" applyFont="1" applyFill="1" applyBorder="1" applyAlignment="1">
      <alignment horizontal="center" vertical="center" wrapText="1" readingOrder="1"/>
    </xf>
    <xf numFmtId="0" fontId="44" fillId="28" borderId="60" xfId="0" applyFont="1" applyFill="1" applyBorder="1" applyAlignment="1">
      <alignment horizontal="center" vertical="center" wrapText="1" readingOrder="1"/>
    </xf>
    <xf numFmtId="0" fontId="44" fillId="17" borderId="53" xfId="0" applyFont="1" applyFill="1" applyBorder="1" applyAlignment="1">
      <alignment horizontal="center" vertical="center" wrapText="1" readingOrder="1"/>
    </xf>
    <xf numFmtId="0" fontId="44" fillId="17" borderId="54" xfId="0" applyFont="1" applyFill="1" applyBorder="1" applyAlignment="1">
      <alignment horizontal="center" vertical="center" wrapText="1" readingOrder="1"/>
    </xf>
    <xf numFmtId="0" fontId="44" fillId="17" borderId="55" xfId="0" applyFont="1" applyFill="1" applyBorder="1" applyAlignment="1">
      <alignment horizontal="center" vertical="center" wrapText="1" readingOrder="1"/>
    </xf>
    <xf numFmtId="0" fontId="44" fillId="17" borderId="56" xfId="0" applyFont="1" applyFill="1" applyBorder="1" applyAlignment="1">
      <alignment horizontal="center" vertical="center" wrapText="1" readingOrder="1"/>
    </xf>
    <xf numFmtId="0" fontId="44" fillId="17" borderId="0" xfId="0" applyFont="1" applyFill="1" applyAlignment="1">
      <alignment horizontal="center" vertical="center" wrapText="1" readingOrder="1"/>
    </xf>
    <xf numFmtId="0" fontId="44" fillId="17" borderId="57" xfId="0" applyFont="1" applyFill="1" applyBorder="1" applyAlignment="1">
      <alignment horizontal="center" vertical="center" wrapText="1" readingOrder="1"/>
    </xf>
    <xf numFmtId="0" fontId="44" fillId="17" borderId="58" xfId="0" applyFont="1" applyFill="1" applyBorder="1" applyAlignment="1">
      <alignment horizontal="center" vertical="center" wrapText="1" readingOrder="1"/>
    </xf>
    <xf numFmtId="0" fontId="44" fillId="17" borderId="59" xfId="0" applyFont="1" applyFill="1" applyBorder="1" applyAlignment="1">
      <alignment horizontal="center" vertical="center" wrapText="1" readingOrder="1"/>
    </xf>
    <xf numFmtId="0" fontId="44" fillId="17" borderId="60" xfId="0" applyFont="1" applyFill="1" applyBorder="1" applyAlignment="1">
      <alignment horizontal="center" vertical="center" wrapText="1" readingOrder="1"/>
    </xf>
    <xf numFmtId="0" fontId="53" fillId="5" borderId="0" xfId="0" applyFont="1" applyFill="1" applyAlignment="1">
      <alignment horizontal="justify" vertical="center" wrapText="1"/>
    </xf>
    <xf numFmtId="0" fontId="46" fillId="20" borderId="4" xfId="0" applyFont="1" applyFill="1" applyBorder="1" applyAlignment="1">
      <alignment horizontal="center" vertical="center" wrapText="1" readingOrder="1"/>
    </xf>
    <xf numFmtId="0" fontId="46" fillId="20" borderId="5" xfId="0" applyFont="1" applyFill="1" applyBorder="1" applyAlignment="1">
      <alignment horizontal="center" vertical="center" wrapText="1" readingOrder="1"/>
    </xf>
    <xf numFmtId="0" fontId="46" fillId="20" borderId="19" xfId="0" applyFont="1" applyFill="1" applyBorder="1" applyAlignment="1">
      <alignment horizontal="center" vertical="center" wrapText="1" readingOrder="1"/>
    </xf>
    <xf numFmtId="0" fontId="49" fillId="33" borderId="61" xfId="0" applyFont="1" applyFill="1" applyBorder="1" applyAlignment="1">
      <alignment horizontal="center" vertical="center" wrapText="1" readingOrder="1"/>
    </xf>
    <xf numFmtId="0" fontId="49" fillId="33" borderId="62" xfId="0" applyFont="1" applyFill="1" applyBorder="1" applyAlignment="1">
      <alignment horizontal="center" vertical="center" wrapText="1" readingOrder="1"/>
    </xf>
    <xf numFmtId="0" fontId="49" fillId="5" borderId="64" xfId="0" applyFont="1" applyFill="1" applyBorder="1" applyAlignment="1">
      <alignment horizontal="center" vertical="center" wrapText="1" readingOrder="1"/>
    </xf>
    <xf numFmtId="0" fontId="49" fillId="5" borderId="66" xfId="0" applyFont="1" applyFill="1" applyBorder="1" applyAlignment="1">
      <alignment horizontal="center" vertical="center" wrapText="1" readingOrder="1"/>
    </xf>
    <xf numFmtId="0" fontId="49" fillId="5" borderId="41" xfId="0" applyFont="1" applyFill="1" applyBorder="1" applyAlignment="1">
      <alignment horizontal="center" vertical="center" wrapText="1" readingOrder="1"/>
    </xf>
    <xf numFmtId="0" fontId="49" fillId="5" borderId="1" xfId="0" applyFont="1" applyFill="1" applyBorder="1" applyAlignment="1">
      <alignment horizontal="center" vertical="center" wrapText="1" readingOrder="1"/>
    </xf>
    <xf numFmtId="0" fontId="49" fillId="5" borderId="68" xfId="0" applyFont="1" applyFill="1" applyBorder="1" applyAlignment="1">
      <alignment horizontal="center" vertical="center" wrapText="1" readingOrder="1"/>
    </xf>
    <xf numFmtId="0" fontId="49" fillId="5" borderId="69" xfId="0" applyFont="1" applyFill="1" applyBorder="1" applyAlignment="1">
      <alignment horizontal="center" vertical="center" wrapText="1" readingOrder="1"/>
    </xf>
    <xf numFmtId="0" fontId="3" fillId="7" borderId="28" xfId="0" applyFont="1" applyFill="1" applyBorder="1" applyAlignment="1">
      <alignment horizontal="center" vertical="center"/>
    </xf>
    <xf numFmtId="0" fontId="3" fillId="7" borderId="0" xfId="0" applyFont="1" applyFill="1" applyAlignment="1">
      <alignment horizontal="center" vertical="center"/>
    </xf>
    <xf numFmtId="0" fontId="0" fillId="0" borderId="0" xfId="0" applyAlignment="1">
      <alignment horizontal="center" vertical="center"/>
    </xf>
    <xf numFmtId="0" fontId="12" fillId="0" borderId="8" xfId="0" applyFont="1" applyBorder="1" applyAlignment="1"/>
    <xf numFmtId="0" fontId="12" fillId="7" borderId="8" xfId="0" applyFont="1" applyFill="1" applyBorder="1" applyAlignment="1"/>
    <xf numFmtId="0" fontId="12" fillId="23" borderId="8" xfId="0" applyFont="1" applyFill="1" applyBorder="1" applyAlignment="1"/>
    <xf numFmtId="0" fontId="12" fillId="0" borderId="24" xfId="0" applyFont="1" applyBorder="1" applyAlignment="1"/>
    <xf numFmtId="0" fontId="12" fillId="7" borderId="24" xfId="0" applyFont="1" applyFill="1" applyBorder="1" applyAlignment="1"/>
    <xf numFmtId="0" fontId="12" fillId="0" borderId="16" xfId="0" applyFont="1" applyBorder="1" applyAlignment="1"/>
    <xf numFmtId="0" fontId="12" fillId="0" borderId="17" xfId="0" applyFont="1" applyBorder="1" applyAlignment="1"/>
    <xf numFmtId="0" fontId="12" fillId="0" borderId="5" xfId="0" applyFont="1" applyBorder="1" applyAlignment="1"/>
    <xf numFmtId="0" fontId="12" fillId="0" borderId="19" xfId="0" applyFont="1" applyBorder="1" applyAlignment="1"/>
    <xf numFmtId="0" fontId="5" fillId="0" borderId="16" xfId="0" applyFont="1" applyBorder="1" applyAlignment="1"/>
    <xf numFmtId="0" fontId="5" fillId="0" borderId="17" xfId="0" applyFont="1" applyBorder="1" applyAlignment="1"/>
    <xf numFmtId="0" fontId="5" fillId="0" borderId="22" xfId="0" applyFont="1" applyBorder="1" applyAlignment="1"/>
    <xf numFmtId="0" fontId="5" fillId="0" borderId="23" xfId="0" applyFont="1" applyBorder="1" applyAlignment="1"/>
    <xf numFmtId="0" fontId="5" fillId="0" borderId="11" xfId="0" applyFont="1" applyBorder="1" applyAlignment="1"/>
    <xf numFmtId="0" fontId="5" fillId="0" borderId="12" xfId="0" applyFont="1" applyBorder="1" applyAlignment="1"/>
    <xf numFmtId="0" fontId="5" fillId="0" borderId="14" xfId="0" applyFont="1" applyBorder="1" applyAlignment="1"/>
    <xf numFmtId="0" fontId="11" fillId="7" borderId="17" xfId="0" applyFont="1" applyFill="1" applyBorder="1" applyAlignment="1"/>
    <xf numFmtId="0" fontId="12" fillId="17" borderId="16" xfId="0" applyFont="1" applyFill="1" applyBorder="1" applyAlignment="1"/>
    <xf numFmtId="0" fontId="12" fillId="17" borderId="17" xfId="0" applyFont="1" applyFill="1" applyBorder="1" applyAlignment="1"/>
  </cellXfs>
  <cellStyles count="6">
    <cellStyle name="Hipervínculo" xfId="2" builtinId="8"/>
    <cellStyle name="Normal" xfId="0" builtinId="0"/>
    <cellStyle name="Normal - Style1 2" xfId="4" xr:uid="{FEA35137-1BB0-464A-AF64-9C8B21B9EEC4}"/>
    <cellStyle name="Normal 2" xfId="3" xr:uid="{9D5C21E8-052E-4EA9-9EB0-44AD5D33DE85}"/>
    <cellStyle name="Normal 2 2" xfId="5" xr:uid="{C4532906-3986-42AB-BE14-EA2B56A28BE1}"/>
    <cellStyle name="Porcentaje" xfId="1" builtinId="5"/>
  </cellStyles>
  <dxfs count="36">
    <dxf>
      <font>
        <color auto="1"/>
      </font>
      <fill>
        <patternFill>
          <bgColor rgb="FFFFEB9C"/>
        </patternFill>
      </fill>
    </dxf>
    <dxf>
      <font>
        <color auto="1"/>
      </font>
      <fill>
        <patternFill>
          <bgColor rgb="FFC6EF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7"/>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00B050"/>
        </patternFill>
      </fill>
    </dxf>
    <dxf>
      <fill>
        <patternFill>
          <bgColor rgb="FFFFFF00"/>
        </patternFill>
      </fill>
    </dxf>
    <dxf>
      <fill>
        <patternFill>
          <bgColor theme="7" tint="-0.24994659260841701"/>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B6DBF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CLASIFICACI&#211;N DEL RIESGO'!A1"/><Relationship Id="rId1" Type="http://schemas.openxmlformats.org/officeDocument/2006/relationships/hyperlink" Target="#'CONTEXTO ESTRAT&#201;GICO'!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649269</xdr:colOff>
      <xdr:row>7</xdr:row>
      <xdr:rowOff>585056</xdr:rowOff>
    </xdr:from>
    <xdr:to>
      <xdr:col>13</xdr:col>
      <xdr:colOff>1412697</xdr:colOff>
      <xdr:row>8</xdr:row>
      <xdr:rowOff>285393</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05B5710F-5FF0-48CC-ADE8-DE5750B0D9B1}"/>
            </a:ext>
          </a:extLst>
        </xdr:cNvPr>
        <xdr:cNvSpPr/>
      </xdr:nvSpPr>
      <xdr:spPr>
        <a:xfrm>
          <a:off x="8019550" y="3060843"/>
          <a:ext cx="763428" cy="41382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742023</xdr:colOff>
      <xdr:row>10</xdr:row>
      <xdr:rowOff>520842</xdr:rowOff>
    </xdr:from>
    <xdr:to>
      <xdr:col>13</xdr:col>
      <xdr:colOff>1533990</xdr:colOff>
      <xdr:row>10</xdr:row>
      <xdr:rowOff>906123</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98130434-EE31-477D-BC14-ED32A5BCAB45}"/>
            </a:ext>
          </a:extLst>
        </xdr:cNvPr>
        <xdr:cNvSpPr/>
      </xdr:nvSpPr>
      <xdr:spPr>
        <a:xfrm>
          <a:off x="8112304" y="5108539"/>
          <a:ext cx="791967" cy="385281"/>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98425</xdr:colOff>
      <xdr:row>2</xdr:row>
      <xdr:rowOff>28575</xdr:rowOff>
    </xdr:from>
    <xdr:to>
      <xdr:col>1</xdr:col>
      <xdr:colOff>872490</xdr:colOff>
      <xdr:row>2</xdr:row>
      <xdr:rowOff>704850</xdr:rowOff>
    </xdr:to>
    <xdr:pic>
      <xdr:nvPicPr>
        <xdr:cNvPr id="2" name="Imagen 1">
          <a:extLst>
            <a:ext uri="{FF2B5EF4-FFF2-40B4-BE49-F238E27FC236}">
              <a16:creationId xmlns:a16="http://schemas.microsoft.com/office/drawing/2014/main" id="{EFEFB71C-80A8-4497-A77B-98CF33C9F0F9}"/>
            </a:ext>
          </a:extLst>
        </xdr:cNvPr>
        <xdr:cNvPicPr>
          <a:picLocks noChangeAspect="1"/>
        </xdr:cNvPicPr>
      </xdr:nvPicPr>
      <xdr:blipFill>
        <a:blip xmlns:r="http://schemas.openxmlformats.org/officeDocument/2006/relationships" r:embed="rId1"/>
        <a:stretch>
          <a:fillRect/>
        </a:stretch>
      </xdr:blipFill>
      <xdr:spPr>
        <a:xfrm>
          <a:off x="98425" y="396875"/>
          <a:ext cx="1294765" cy="676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O-MT-10%20MATRIZ%20DE%20RIESGOS%20INSTITUCIONALES%20V6%20-%20G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AppData/Local/Temp/Rar$DIa764.30893/MR-TIC-01-V4_Mapa_riesgos_TIC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ATRIZ DE RIESGOS"/>
      <sheetName val="CONTEXTO ESTRATÉGICO"/>
      <sheetName val="CLASIFICACIÓN DEL RIESGO"/>
      <sheetName val="PROBABILIDAD"/>
      <sheetName val="IMPACTO"/>
      <sheetName val="MATRIZ CALOR INHERENTE"/>
      <sheetName val="MATRIZ DE CALOR RESIDUAL"/>
      <sheetName val="VALORACIÓN DE CONTROLES"/>
      <sheetName val="Validacion de datos"/>
    </sheetNames>
    <sheetDataSet>
      <sheetData sheetId="0"/>
      <sheetData sheetId="1"/>
      <sheetData sheetId="2"/>
      <sheetData sheetId="3"/>
      <sheetData sheetId="4"/>
      <sheetData sheetId="5">
        <row r="3">
          <cell r="C3" t="str">
            <v xml:space="preserve">Afectación menor a 10 SMLMV </v>
          </cell>
          <cell r="D3" t="str">
            <v>El riesgo afecta la imagen de alguna área de la organización</v>
          </cell>
        </row>
        <row r="4">
          <cell r="C4" t="str">
            <v xml:space="preserve">Entre 10 y 50 SMLMV </v>
          </cell>
          <cell r="D4" t="str">
            <v>El riesgo afecta la imagen de la entidad internamente, de conocimiento general, nivel interno, de junta dircetiva y accionistas y/o de provedores</v>
          </cell>
        </row>
        <row r="5">
          <cell r="C5" t="str">
            <v xml:space="preserve">Entre 50 y 100 SMLMV </v>
          </cell>
          <cell r="D5" t="str">
            <v>El riesgo afecta la imagen de la entidad con algunos usuarios de relevancia frente al logro de los objetivos</v>
          </cell>
        </row>
        <row r="6">
          <cell r="C6" t="str">
            <v xml:space="preserve">Entre 100 y 500 SMLMV </v>
          </cell>
          <cell r="D6" t="str">
            <v>El riesgo afecta la imagen de de la entidad con efecto publicitario sostenido a nivel de sector administrativo, nivel departamental o municipal</v>
          </cell>
        </row>
        <row r="7">
          <cell r="C7" t="str">
            <v xml:space="preserve">Mayor a 500 SMLMV </v>
          </cell>
          <cell r="D7" t="str">
            <v>El riesgo afecta la imagen de la entidad a nivel nacional, con efecto publicitarios sostenible a nivel país</v>
          </cell>
        </row>
      </sheetData>
      <sheetData sheetId="6"/>
      <sheetData sheetId="7"/>
      <sheetData sheetId="8"/>
      <sheetData sheetId="9">
        <row r="1">
          <cell r="A1" t="str">
            <v>NOMBRE DEL PROCESO</v>
          </cell>
          <cell r="B1" t="str">
            <v>OBJETIVO DEL PROCESO</v>
          </cell>
        </row>
        <row r="2">
          <cell r="A2" t="str">
            <v>GESTIÓN ORGANIZACIONAL</v>
          </cell>
          <cell r="B2" t="str">
            <v>Establecer, implementar, mantener y mejorar el Sistema de Gestión con el propósito de fortalecer la mejora del desempeño de los procesos que permita responder al cumplimiento de los objetivos de la entidad y el cumplimiento de los requisitos legales, las necesidades y expectativas de los grupos de valor.</v>
          </cell>
        </row>
        <row r="3">
          <cell r="A3" t="str">
            <v xml:space="preserve">PLANEACIÓN ESTRATÉGICA </v>
          </cell>
          <cell r="B3" t="str">
            <v>Direccionar, orientar y articular los procesos organizacionales a traves de estrategias, metodologías e instrumentos que promueven y aseguran el mejoramiento continuo de la gestión y el cumplimiento de las metas institucionales.</v>
          </cell>
        </row>
        <row r="4">
          <cell r="A4" t="str">
            <v>GESTIÓN DEL TALENTO HUMANO</v>
          </cell>
          <cell r="B4" t="str">
            <v>Planear, organizar, ejecutar y controlar las acciones que promuevan la gestión del talento humano en términos de la arquitectura organizacional, selección de personal, su capacitación, evaluación, reconocimiento de obligaciones salariales y prestacionales. Igualmente, promover y  mantener las condiciones de cultura organizacional, bienestar y calidad de vida,  logrando el cumplimiento de las estrategias y metas definidas por la empresa, asegurando un buen clima laboral  y  condiciones seguras de trabajo.  </v>
          </cell>
        </row>
        <row r="5">
          <cell r="A5" t="str">
            <v xml:space="preserve">GESTIÓN DE LAS COMUNICACIONES </v>
          </cell>
          <cell r="B5" t="str">
            <v>Liderar y gestionar la estrategia de comunicaciones y relaciones públicas de VIVA, con sus públicos de interés,  para reposicionar a la entidad como la empresa de vivienda de los antioqueños, contribuyendo a mejorar la satisfacción del ciudadano con una adecuada atención, a través de información efectiva con alianzas estratégicas, soportadas en la empatía, el rigor técnico y las capacidades individuales y colectivas.</v>
          </cell>
        </row>
        <row r="6">
          <cell r="A6" t="str">
            <v xml:space="preserve">GESTIÓN DE VIVIENDA Y HÁBITAT </v>
          </cell>
          <cell r="B6" t="str">
            <v>Diagnosticar, estructurar, formular, asesorar y acompañar los proyectos de Vivienda y Hábitat de la Empresa de Vivienda de Antioquia-VIVA, aplicando aprendizajes adquiridos mediante diversas herramientas de investigación  velando así por la innovación, la sostenibilidad, la gestión socio cultural y la integración de los proyectos en los territorios y las comunidades, para el cumplimiento de la misión de la Entidad respondiendo a los ODS.</v>
          </cell>
        </row>
        <row r="7">
          <cell r="A7" t="str">
            <v>GESTIÓN DE PROYECTOS</v>
          </cell>
          <cell r="B7" t="str">
            <v xml:space="preserve">Ejecutar y supervisar proyectos gestionados por la Empresa de Vivienda de Antioquia - VIVA con entidades públicas y privadas mediante control y seguimiento de los procesos y actividades derivados del ejercicio contractual de los contratos y/o convenidos celebrados por la entidad.
</v>
          </cell>
        </row>
        <row r="8">
          <cell r="A8" t="str">
            <v xml:space="preserve">ADMINISTRACIÓN BANCO DE MATERIALES </v>
          </cell>
          <cell r="B8" t="str">
            <v>Promover y gestionar el suministro y entrega de materiales, maquinaria, equipos, herramientas, elementos de construcción y soluciones  integrales a través de la red de Aliados Estratégicos, para las entidades públicas y sin ánimo de lucro del orden local, departamental y nacional que se enfoquen en el desarrollo de proyectos de vivienda, mejoramientos de vivienda e infraestructura pública vinculados a los Planes de Desarrollo Municipales, Departamentales y Nacionales, así como los proyectos que desarrolla la Empresa de Vivienda de Antioquia VIVA.</v>
          </cell>
        </row>
        <row r="9">
          <cell r="A9" t="str">
            <v>GESTIÓN SOCIOCULTURAL</v>
          </cell>
          <cell r="B9" t="str">
            <v>Acompañar a través de estrategias socioculturales a los entes territoriales del Departamento, a las familias antioqueñas beneficiarias de los proyectos en los que participa la Empresa de Vivienda de Antioquia –VIVA-, promoviendo el empoderamiento de las comunidades, la participación y el desarrollo de capacidades para lograr viviendas dignas, sostenibles y el mejoramiento de la calidad de vida.</v>
          </cell>
        </row>
        <row r="10">
          <cell r="A10" t="str">
            <v>GESTIÓN DE TITULACIÓN</v>
          </cell>
          <cell r="B10" t="str">
            <v>Asesorar y acompañar a los municipios y las dependencias de la organización en la gestión de titulación, legalización de predios, estudio de titulo para mejoramientos de vivienda, escrituración de vivienda nueva y crédito rotatorio de vivienda, y el saneamiento predial.</v>
          </cell>
        </row>
        <row r="11">
          <cell r="A11" t="str">
            <v>ADMINISTRACIÓN FONDO ROTATORIO DE CRÉDITO</v>
          </cell>
          <cell r="B11" t="str">
            <v>Facilitar el mecanismo financiero y recurso para la compra de vivienda nueva, construcción en sitio propio, en proyectos de vivienda social, mejoramiento de vivienda y sustitución de deuda, dirigido a familias de bajos recursos en el Departamento de Antioquia, cuyos ingresos no superen cuatro (4) SMMLV.</v>
          </cell>
        </row>
        <row r="12">
          <cell r="A12" t="str">
            <v xml:space="preserve">GESTIÓN JURIDICA Y CONTRACTUAL </v>
          </cell>
          <cell r="B12" t="str">
            <v>Garantizar que las actuaciones jurídicas y contractuales se realicen de acuerdo a la normatividad vigente y aplicable a cada caso, evitando de esta manera el daño antijurídico y la materialización de riesgos, mediante actuaciones preventivas, el estudio riguroso de cada necesidad de VIVA.</v>
          </cell>
        </row>
        <row r="13">
          <cell r="A13" t="str">
            <v>ADMINISTRACIÓN DE SEGURIDAD Y SALUD EN EL TRABAJO</v>
          </cell>
          <cell r="B13" t="str">
            <v>Diseñar y administrar el Sistema de gestión de seguridad y salud en el trabajo de la Empresa de Vivienda de Antioquia, mediante la ejecución de estrategias y métodos que permitan proteger la salud y la seguridad de todos los trabajadores, mediante la mejora continua, el control y monitoreo del mismo, asegurando el cumplimiento legal y el adecuado desempeño del SGSST.</v>
          </cell>
        </row>
        <row r="14">
          <cell r="A14" t="str">
            <v xml:space="preserve">GESTIÓN FINANCIERA </v>
          </cell>
          <cell r="B14" t="str">
            <v>Administrar los recursos financieros de forma eficaz y eficiente para cumplir con las obligaciones de la Entidad en los diferentes procesos, respondiendo oportunamente a los requerimientos de los grupos de valor.</v>
          </cell>
          <cell r="H14" t="str">
            <v>Criterios</v>
          </cell>
        </row>
        <row r="15">
          <cell r="A15" t="str">
            <v xml:space="preserve">GESTIÓN DE BIENES Y SERVICIOS </v>
          </cell>
          <cell r="B15" t="str">
            <v>Gestionar la adquisición y la administración de los Bienes y Servicios necesarios en la ejecución de las actividades de la Empresa de Vivienda de Antioquia-VIVA, para contribuir con el logro de los objetivos organizacionales, cumpliendo con los principios de la administración pública.</v>
          </cell>
          <cell r="H15" t="str">
            <v>Afectación Económica o presupuestal</v>
          </cell>
        </row>
        <row r="16">
          <cell r="A16" t="str">
            <v xml:space="preserve">GESTIÓN DOCUMENTAL </v>
          </cell>
          <cell r="B16" t="str">
            <v>Gestionar de manera eficiente la administración, manejo y custodia de los documentos generados en la entidad, para fortalecer eficazmente la gestión documental de la Empresa de Vivienda de Antioquia-VIVA, a través de los elementos técnicos, normativos y operativos necesarios para su adecuado funcionamiento.</v>
          </cell>
          <cell r="H16" t="str">
            <v>Pérdida Reputacional</v>
          </cell>
          <cell r="J16" t="str">
            <v>❌</v>
          </cell>
        </row>
        <row r="17">
          <cell r="A17" t="str">
            <v xml:space="preserve">CONTROL INTERNO DISCIPLINARIO </v>
          </cell>
          <cell r="B17" t="str">
            <v>Tramitar la fase de instrucción de los procesos disciplinarios por la presunta comisión de conductas que puedan constituirse como falta disciplinaria y que le sea atribuible a los funcionarios y exfuncionarios de la Empresa de Vivienda de Antioquia – VIVA en el ejercicio de sus funciones, ejecutando los procesos administrativos pertinentes con el fin de determinar su responsabilidad conforme a la Constitución y la Ley.</v>
          </cell>
        </row>
        <row r="18">
          <cell r="A18" t="str">
            <v xml:space="preserve">GESTIÓN DE INFORMACIÓN Y TECNOLOGÍA </v>
          </cell>
          <cell r="B18" t="str">
            <v>Fortalecer la confidencialidad, la integridad y disponibilidad de la información, mediante procedimientos, lineamientos y herramientas tecnológicas que generen cumplimiento y apoyo a los demás procesos de la entidad, enfocando los esfuerzos en la generación de cultura y cuidado de la seguridad informática</v>
          </cell>
        </row>
        <row r="19">
          <cell r="A19" t="str">
            <v xml:space="preserve">EVALUACIÓN INDEPENDIENTE </v>
          </cell>
          <cell r="B19" t="str">
            <v>Evaluar de forma independiente y objetiva la gestión de los procesos institucionales, a través de seguimientos y auditorías que permitan generar alertas tempranas que contribuyan al mejoramiento continuo en la gestión de la Entidad de acuerdo con el plan anual de auditorías.</v>
          </cell>
        </row>
        <row r="20">
          <cell r="A20" t="str">
            <v>CONTEXTO ORGANIZACIONAL</v>
          </cell>
          <cell r="B20" t="str">
            <v>Determinar los lineamientos estratégicos a partir del análisis del contexto interno y externo de VIVA, con la finalidad de obtener resultados para la toma de decisiones y acciones para asegurarse de la conveniencia, adecuación, eficacia y alineación continua del Sistema de Gestión que lleve al cumplimiento de su objeto social y al logro del éxito sostenido en su gestión, estableciendo parámetros generales de acción a cada uno de los procesos.</v>
          </cell>
        </row>
        <row r="21">
          <cell r="A21" t="str">
            <v xml:space="preserve">GRUPO DE VALOR </v>
          </cell>
          <cell r="B21" t="str">
            <v>Gestionar las necesidades y expectativas de nuestros grupos de valor y partes interesadas a quienes va dirigida la gestión institucional de VIVA.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row r="12">
          <cell r="A12">
            <v>1</v>
          </cell>
          <cell r="H12" t="str">
            <v>Media</v>
          </cell>
          <cell r="L12" t="str">
            <v>Leve</v>
          </cell>
          <cell r="O12">
            <v>1</v>
          </cell>
          <cell r="Y12" t="str">
            <v>Baja</v>
          </cell>
          <cell r="AA12" t="str">
            <v>Leve</v>
          </cell>
        </row>
        <row r="13">
          <cell r="O13">
            <v>2</v>
          </cell>
          <cell r="Y13" t="str">
            <v/>
          </cell>
          <cell r="AA13" t="str">
            <v/>
          </cell>
        </row>
        <row r="14">
          <cell r="O14">
            <v>3</v>
          </cell>
          <cell r="Y14" t="str">
            <v/>
          </cell>
          <cell r="AA14" t="str">
            <v/>
          </cell>
        </row>
        <row r="15">
          <cell r="O15">
            <v>4</v>
          </cell>
          <cell r="Y15" t="str">
            <v/>
          </cell>
          <cell r="AA15" t="str">
            <v/>
          </cell>
        </row>
        <row r="16">
          <cell r="O16">
            <v>5</v>
          </cell>
          <cell r="Y16" t="str">
            <v/>
          </cell>
          <cell r="AA16" t="str">
            <v/>
          </cell>
        </row>
        <row r="17">
          <cell r="O17">
            <v>6</v>
          </cell>
          <cell r="Y17" t="str">
            <v/>
          </cell>
          <cell r="AA17" t="str">
            <v/>
          </cell>
        </row>
        <row r="18">
          <cell r="A18">
            <v>2</v>
          </cell>
          <cell r="H18" t="str">
            <v>Baja</v>
          </cell>
          <cell r="L18" t="str">
            <v>Menor</v>
          </cell>
          <cell r="O18">
            <v>1</v>
          </cell>
          <cell r="Y18" t="str">
            <v>Baja</v>
          </cell>
          <cell r="AA18" t="str">
            <v>Menor</v>
          </cell>
        </row>
        <row r="19">
          <cell r="O19">
            <v>2</v>
          </cell>
          <cell r="Y19" t="str">
            <v/>
          </cell>
          <cell r="AA19" t="str">
            <v/>
          </cell>
        </row>
        <row r="20">
          <cell r="O20">
            <v>3</v>
          </cell>
          <cell r="Y20" t="str">
            <v/>
          </cell>
          <cell r="AA20" t="str">
            <v/>
          </cell>
        </row>
        <row r="21">
          <cell r="O21">
            <v>4</v>
          </cell>
          <cell r="Y21" t="str">
            <v/>
          </cell>
          <cell r="AA21" t="str">
            <v/>
          </cell>
        </row>
        <row r="22">
          <cell r="O22">
            <v>5</v>
          </cell>
          <cell r="Y22" t="str">
            <v/>
          </cell>
          <cell r="AA22" t="str">
            <v/>
          </cell>
        </row>
        <row r="23">
          <cell r="O23">
            <v>6</v>
          </cell>
          <cell r="Y23" t="str">
            <v/>
          </cell>
          <cell r="AA23" t="str">
            <v/>
          </cell>
        </row>
        <row r="24">
          <cell r="A24">
            <v>3</v>
          </cell>
          <cell r="H24" t="str">
            <v>Muy Baja</v>
          </cell>
          <cell r="L24" t="str">
            <v>Leve</v>
          </cell>
          <cell r="O24">
            <v>1</v>
          </cell>
          <cell r="Y24" t="str">
            <v>Muy Baja</v>
          </cell>
          <cell r="AA24" t="str">
            <v>Leve</v>
          </cell>
        </row>
        <row r="25">
          <cell r="O25">
            <v>2</v>
          </cell>
          <cell r="Y25" t="str">
            <v/>
          </cell>
          <cell r="AA25" t="str">
            <v/>
          </cell>
        </row>
        <row r="26">
          <cell r="O26">
            <v>3</v>
          </cell>
          <cell r="Y26" t="str">
            <v/>
          </cell>
          <cell r="AA26" t="str">
            <v/>
          </cell>
        </row>
        <row r="27">
          <cell r="O27">
            <v>4</v>
          </cell>
          <cell r="Y27" t="str">
            <v/>
          </cell>
          <cell r="AA27" t="str">
            <v/>
          </cell>
        </row>
        <row r="28">
          <cell r="O28">
            <v>5</v>
          </cell>
          <cell r="Y28" t="str">
            <v/>
          </cell>
          <cell r="AA28" t="str">
            <v/>
          </cell>
        </row>
        <row r="29">
          <cell r="O29">
            <v>6</v>
          </cell>
          <cell r="Y29" t="str">
            <v/>
          </cell>
          <cell r="AA29" t="str">
            <v/>
          </cell>
        </row>
        <row r="30">
          <cell r="H30" t="str">
            <v/>
          </cell>
          <cell r="L30" t="str">
            <v/>
          </cell>
        </row>
        <row r="31">
          <cell r="O31">
            <v>2</v>
          </cell>
          <cell r="Y31" t="str">
            <v/>
          </cell>
          <cell r="AA31" t="str">
            <v/>
          </cell>
        </row>
        <row r="32">
          <cell r="O32">
            <v>3</v>
          </cell>
          <cell r="Y32" t="str">
            <v/>
          </cell>
          <cell r="AA32" t="str">
            <v/>
          </cell>
        </row>
        <row r="33">
          <cell r="O33">
            <v>4</v>
          </cell>
          <cell r="Y33" t="str">
            <v/>
          </cell>
          <cell r="AA33" t="str">
            <v/>
          </cell>
        </row>
        <row r="34">
          <cell r="O34">
            <v>5</v>
          </cell>
          <cell r="Y34" t="str">
            <v/>
          </cell>
          <cell r="AA34" t="str">
            <v/>
          </cell>
        </row>
        <row r="35">
          <cell r="O35">
            <v>6</v>
          </cell>
          <cell r="Y35" t="str">
            <v/>
          </cell>
          <cell r="AA35" t="str">
            <v/>
          </cell>
        </row>
        <row r="36">
          <cell r="A36">
            <v>4</v>
          </cell>
          <cell r="H36" t="str">
            <v>Media</v>
          </cell>
          <cell r="L36" t="str">
            <v>Leve</v>
          </cell>
          <cell r="O36">
            <v>1</v>
          </cell>
          <cell r="Y36" t="str">
            <v>Baja</v>
          </cell>
          <cell r="AA36" t="str">
            <v>Leve</v>
          </cell>
        </row>
        <row r="37">
          <cell r="O37">
            <v>2</v>
          </cell>
          <cell r="Y37" t="str">
            <v/>
          </cell>
          <cell r="AA37" t="str">
            <v/>
          </cell>
        </row>
        <row r="38">
          <cell r="O38">
            <v>3</v>
          </cell>
          <cell r="Y38" t="str">
            <v/>
          </cell>
          <cell r="AA38" t="str">
            <v/>
          </cell>
        </row>
        <row r="39">
          <cell r="O39">
            <v>4</v>
          </cell>
          <cell r="Y39" t="str">
            <v/>
          </cell>
          <cell r="AA39" t="str">
            <v/>
          </cell>
        </row>
        <row r="40">
          <cell r="O40">
            <v>5</v>
          </cell>
          <cell r="Y40" t="str">
            <v/>
          </cell>
          <cell r="AA40" t="str">
            <v/>
          </cell>
        </row>
        <row r="41">
          <cell r="O41">
            <v>6</v>
          </cell>
          <cell r="Y41" t="str">
            <v/>
          </cell>
          <cell r="AA41" t="str">
            <v/>
          </cell>
        </row>
        <row r="42">
          <cell r="A42">
            <v>5</v>
          </cell>
          <cell r="H42" t="str">
            <v>Muy Baja</v>
          </cell>
          <cell r="L42" t="str">
            <v>Moderado</v>
          </cell>
          <cell r="O42">
            <v>1</v>
          </cell>
          <cell r="Y42" t="str">
            <v>Muy Baja</v>
          </cell>
          <cell r="AA42" t="str">
            <v>Moderado</v>
          </cell>
        </row>
        <row r="43">
          <cell r="O43">
            <v>2</v>
          </cell>
          <cell r="Y43" t="str">
            <v/>
          </cell>
          <cell r="AA43" t="str">
            <v/>
          </cell>
        </row>
        <row r="44">
          <cell r="O44">
            <v>3</v>
          </cell>
          <cell r="Y44" t="str">
            <v/>
          </cell>
          <cell r="AA44" t="str">
            <v/>
          </cell>
        </row>
        <row r="45">
          <cell r="O45">
            <v>4</v>
          </cell>
          <cell r="Y45" t="str">
            <v/>
          </cell>
          <cell r="AA45" t="str">
            <v/>
          </cell>
        </row>
        <row r="46">
          <cell r="O46">
            <v>5</v>
          </cell>
          <cell r="Y46" t="str">
            <v/>
          </cell>
          <cell r="AA46" t="str">
            <v/>
          </cell>
        </row>
        <row r="47">
          <cell r="O47">
            <v>6</v>
          </cell>
          <cell r="Y47" t="str">
            <v/>
          </cell>
          <cell r="AA47" t="str">
            <v/>
          </cell>
        </row>
        <row r="48">
          <cell r="A48">
            <v>6</v>
          </cell>
          <cell r="H48" t="str">
            <v>Alta</v>
          </cell>
          <cell r="L48" t="str">
            <v>Mayor</v>
          </cell>
          <cell r="O48">
            <v>1</v>
          </cell>
          <cell r="Y48" t="str">
            <v>Media</v>
          </cell>
          <cell r="AA48" t="str">
            <v>Mayor</v>
          </cell>
        </row>
        <row r="49">
          <cell r="O49">
            <v>2</v>
          </cell>
          <cell r="Y49" t="str">
            <v/>
          </cell>
          <cell r="AA49" t="str">
            <v/>
          </cell>
        </row>
        <row r="50">
          <cell r="O50">
            <v>3</v>
          </cell>
          <cell r="Y50" t="str">
            <v/>
          </cell>
          <cell r="AA50" t="str">
            <v/>
          </cell>
        </row>
        <row r="51">
          <cell r="O51">
            <v>4</v>
          </cell>
          <cell r="Y51" t="str">
            <v/>
          </cell>
          <cell r="AA51" t="str">
            <v/>
          </cell>
        </row>
        <row r="52">
          <cell r="O52">
            <v>5</v>
          </cell>
          <cell r="Y52" t="str">
            <v/>
          </cell>
          <cell r="AA52" t="str">
            <v/>
          </cell>
        </row>
        <row r="53">
          <cell r="O53">
            <v>6</v>
          </cell>
          <cell r="Y53" t="str">
            <v/>
          </cell>
          <cell r="AA53" t="str">
            <v/>
          </cell>
        </row>
        <row r="54">
          <cell r="A54">
            <v>7</v>
          </cell>
          <cell r="H54" t="str">
            <v>Media</v>
          </cell>
          <cell r="L54" t="str">
            <v>Mayor</v>
          </cell>
          <cell r="O54">
            <v>1</v>
          </cell>
          <cell r="Y54" t="str">
            <v>Baja</v>
          </cell>
          <cell r="AA54" t="str">
            <v>Mayor</v>
          </cell>
        </row>
        <row r="55">
          <cell r="O55">
            <v>2</v>
          </cell>
          <cell r="Y55" t="str">
            <v/>
          </cell>
          <cell r="AA55" t="str">
            <v/>
          </cell>
        </row>
        <row r="56">
          <cell r="O56">
            <v>3</v>
          </cell>
          <cell r="Y56" t="str">
            <v/>
          </cell>
          <cell r="AA56" t="str">
            <v/>
          </cell>
        </row>
        <row r="57">
          <cell r="O57">
            <v>4</v>
          </cell>
          <cell r="Y57" t="str">
            <v/>
          </cell>
          <cell r="AA57" t="str">
            <v/>
          </cell>
        </row>
        <row r="58">
          <cell r="O58">
            <v>5</v>
          </cell>
          <cell r="Y58" t="str">
            <v/>
          </cell>
          <cell r="AA58" t="str">
            <v/>
          </cell>
        </row>
        <row r="59">
          <cell r="O59">
            <v>6</v>
          </cell>
          <cell r="Y59" t="str">
            <v/>
          </cell>
          <cell r="AA59" t="str">
            <v/>
          </cell>
        </row>
        <row r="60">
          <cell r="A60">
            <v>9</v>
          </cell>
          <cell r="H60" t="str">
            <v/>
          </cell>
          <cell r="L60" t="str">
            <v/>
          </cell>
          <cell r="O60">
            <v>1</v>
          </cell>
          <cell r="Y60" t="str">
            <v/>
          </cell>
          <cell r="AA60" t="str">
            <v/>
          </cell>
        </row>
        <row r="61">
          <cell r="O61">
            <v>2</v>
          </cell>
          <cell r="Y61" t="str">
            <v/>
          </cell>
          <cell r="AA61" t="str">
            <v/>
          </cell>
        </row>
        <row r="62">
          <cell r="O62">
            <v>3</v>
          </cell>
          <cell r="Y62" t="str">
            <v/>
          </cell>
          <cell r="AA62" t="str">
            <v/>
          </cell>
        </row>
        <row r="63">
          <cell r="O63">
            <v>4</v>
          </cell>
          <cell r="Y63" t="str">
            <v/>
          </cell>
          <cell r="AA63" t="str">
            <v/>
          </cell>
        </row>
        <row r="64">
          <cell r="O64">
            <v>5</v>
          </cell>
          <cell r="Y64" t="str">
            <v/>
          </cell>
          <cell r="AA64" t="str">
            <v/>
          </cell>
        </row>
        <row r="65">
          <cell r="O65">
            <v>6</v>
          </cell>
          <cell r="Y65" t="str">
            <v/>
          </cell>
          <cell r="AA65" t="str">
            <v/>
          </cell>
        </row>
        <row r="66">
          <cell r="A66">
            <v>10</v>
          </cell>
          <cell r="H66" t="str">
            <v/>
          </cell>
          <cell r="L66" t="str">
            <v/>
          </cell>
          <cell r="O66">
            <v>1</v>
          </cell>
          <cell r="Y66" t="str">
            <v/>
          </cell>
          <cell r="AA66" t="str">
            <v/>
          </cell>
        </row>
        <row r="67">
          <cell r="O67">
            <v>2</v>
          </cell>
          <cell r="Y67" t="str">
            <v/>
          </cell>
          <cell r="AA67" t="str">
            <v/>
          </cell>
        </row>
        <row r="68">
          <cell r="O68">
            <v>3</v>
          </cell>
          <cell r="Y68" t="str">
            <v/>
          </cell>
          <cell r="AA68" t="str">
            <v/>
          </cell>
        </row>
        <row r="69">
          <cell r="O69">
            <v>4</v>
          </cell>
          <cell r="Y69" t="str">
            <v/>
          </cell>
          <cell r="AA69" t="str">
            <v/>
          </cell>
        </row>
        <row r="70">
          <cell r="O70">
            <v>5</v>
          </cell>
          <cell r="Y70" t="str">
            <v/>
          </cell>
          <cell r="AA70" t="str">
            <v/>
          </cell>
        </row>
        <row r="71">
          <cell r="O71">
            <v>6</v>
          </cell>
          <cell r="Y71" t="str">
            <v/>
          </cell>
          <cell r="AA71" t="str">
            <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A81D3-36CD-4B51-B2DF-1BAB8EF6474E}">
  <dimension ref="E1:N37"/>
  <sheetViews>
    <sheetView showGridLines="0" topLeftCell="B1" zoomScale="50" zoomScaleNormal="50" workbookViewId="0">
      <selection activeCell="O4" sqref="O4"/>
    </sheetView>
  </sheetViews>
  <sheetFormatPr defaultColWidth="11.42578125" defaultRowHeight="14.45"/>
  <cols>
    <col min="13" max="13" width="56.42578125" customWidth="1"/>
    <col min="14" max="14" width="34.28515625" customWidth="1"/>
  </cols>
  <sheetData>
    <row r="1" spans="5:14" ht="58.5" customHeight="1">
      <c r="E1" s="210" t="s">
        <v>0</v>
      </c>
      <c r="F1" s="210"/>
      <c r="G1" s="210"/>
      <c r="H1" s="210"/>
      <c r="I1" s="210"/>
      <c r="J1" s="210"/>
      <c r="K1" s="210"/>
      <c r="L1" s="210"/>
      <c r="M1" s="210"/>
      <c r="N1" s="210"/>
    </row>
    <row r="2" spans="5:14" ht="219" customHeight="1">
      <c r="E2" s="211" t="s">
        <v>1</v>
      </c>
      <c r="F2" s="211"/>
      <c r="G2" s="211"/>
      <c r="H2" s="211"/>
      <c r="I2" s="211"/>
      <c r="J2" s="211"/>
      <c r="K2" s="211"/>
      <c r="L2" s="211"/>
      <c r="M2" s="211"/>
      <c r="N2" s="211"/>
    </row>
    <row r="3" spans="5:14">
      <c r="E3" s="209" t="s">
        <v>2</v>
      </c>
      <c r="F3" s="209"/>
      <c r="G3" s="209"/>
      <c r="H3" s="209"/>
      <c r="I3" s="209" t="s">
        <v>3</v>
      </c>
      <c r="J3" s="209"/>
      <c r="K3" s="209"/>
      <c r="L3" s="209"/>
      <c r="M3" s="209"/>
      <c r="N3" s="209"/>
    </row>
    <row r="4" spans="5:14" ht="23.1" customHeight="1">
      <c r="E4" s="200" t="s">
        <v>4</v>
      </c>
      <c r="F4" s="200"/>
      <c r="G4" s="200"/>
      <c r="H4" s="200"/>
      <c r="I4" s="212" t="s">
        <v>5</v>
      </c>
      <c r="J4" s="212"/>
      <c r="K4" s="212"/>
      <c r="L4" s="212"/>
      <c r="M4" s="212"/>
      <c r="N4" s="212"/>
    </row>
    <row r="5" spans="5:14" ht="38.1" customHeight="1">
      <c r="E5" s="200" t="s">
        <v>6</v>
      </c>
      <c r="F5" s="200"/>
      <c r="G5" s="200"/>
      <c r="H5" s="200"/>
      <c r="I5" s="191" t="s">
        <v>7</v>
      </c>
      <c r="J5" s="191"/>
      <c r="K5" s="191"/>
      <c r="L5" s="191"/>
      <c r="M5" s="191"/>
      <c r="N5" s="191"/>
    </row>
    <row r="6" spans="5:14" ht="80.099999999999994" customHeight="1">
      <c r="E6" s="194" t="s">
        <v>8</v>
      </c>
      <c r="F6" s="195"/>
      <c r="G6" s="195"/>
      <c r="H6" s="195"/>
      <c r="I6" s="195"/>
      <c r="J6" s="195"/>
      <c r="K6" s="195"/>
      <c r="L6" s="195"/>
      <c r="M6" s="196"/>
      <c r="N6" s="192" t="s">
        <v>8</v>
      </c>
    </row>
    <row r="7" spans="5:14" ht="42.6" customHeight="1">
      <c r="E7" s="188" t="s">
        <v>9</v>
      </c>
      <c r="F7" s="189"/>
      <c r="G7" s="189"/>
      <c r="H7" s="189"/>
      <c r="I7" s="189"/>
      <c r="J7" s="189"/>
      <c r="K7" s="189"/>
      <c r="L7" s="189"/>
      <c r="M7" s="190"/>
      <c r="N7" s="192"/>
    </row>
    <row r="8" spans="5:14" ht="56.1" customHeight="1">
      <c r="E8" s="200" t="s">
        <v>10</v>
      </c>
      <c r="F8" s="200"/>
      <c r="G8" s="200"/>
      <c r="H8" s="200"/>
      <c r="I8" s="188" t="s">
        <v>11</v>
      </c>
      <c r="J8" s="189"/>
      <c r="K8" s="189"/>
      <c r="L8" s="189"/>
      <c r="M8" s="190"/>
      <c r="N8" s="192"/>
    </row>
    <row r="9" spans="5:14" ht="80.45" customHeight="1">
      <c r="E9" s="200" t="s">
        <v>12</v>
      </c>
      <c r="F9" s="200"/>
      <c r="G9" s="200"/>
      <c r="H9" s="200"/>
      <c r="I9" s="188" t="s">
        <v>13</v>
      </c>
      <c r="J9" s="189"/>
      <c r="K9" s="189"/>
      <c r="L9" s="189"/>
      <c r="M9" s="190"/>
      <c r="N9" s="192"/>
    </row>
    <row r="10" spans="5:14" ht="29.45" customHeight="1">
      <c r="E10" s="194" t="s">
        <v>14</v>
      </c>
      <c r="F10" s="195"/>
      <c r="G10" s="195"/>
      <c r="H10" s="195"/>
      <c r="I10" s="195"/>
      <c r="J10" s="195"/>
      <c r="K10" s="195"/>
      <c r="L10" s="195"/>
      <c r="M10" s="196"/>
      <c r="N10" s="193" t="s">
        <v>14</v>
      </c>
    </row>
    <row r="11" spans="5:14" ht="101.45" customHeight="1">
      <c r="E11" s="188" t="s">
        <v>15</v>
      </c>
      <c r="F11" s="189"/>
      <c r="G11" s="189"/>
      <c r="H11" s="189"/>
      <c r="I11" s="189"/>
      <c r="J11" s="189"/>
      <c r="K11" s="189"/>
      <c r="L11" s="189"/>
      <c r="M11" s="190"/>
      <c r="N11" s="193"/>
    </row>
    <row r="12" spans="5:14" ht="272.10000000000002" customHeight="1">
      <c r="E12" s="200" t="s">
        <v>16</v>
      </c>
      <c r="F12" s="200"/>
      <c r="G12" s="200"/>
      <c r="H12" s="200"/>
      <c r="I12" s="191" t="s">
        <v>17</v>
      </c>
      <c r="J12" s="191"/>
      <c r="K12" s="191"/>
      <c r="L12" s="191"/>
      <c r="M12" s="191"/>
      <c r="N12" s="191"/>
    </row>
    <row r="13" spans="5:14" ht="64.5" customHeight="1">
      <c r="E13" s="194" t="s">
        <v>18</v>
      </c>
      <c r="F13" s="195"/>
      <c r="G13" s="195"/>
      <c r="H13" s="196"/>
      <c r="I13" s="187" t="s">
        <v>19</v>
      </c>
      <c r="J13" s="187"/>
      <c r="K13" s="187"/>
      <c r="L13" s="187"/>
      <c r="M13" s="187"/>
      <c r="N13" s="187"/>
    </row>
    <row r="14" spans="5:14" ht="48.6" customHeight="1">
      <c r="E14" s="194" t="s">
        <v>20</v>
      </c>
      <c r="F14" s="195"/>
      <c r="G14" s="195"/>
      <c r="H14" s="196"/>
      <c r="I14" s="187" t="s">
        <v>21</v>
      </c>
      <c r="J14" s="187"/>
      <c r="K14" s="187"/>
      <c r="L14" s="187"/>
      <c r="M14" s="187"/>
      <c r="N14" s="187"/>
    </row>
    <row r="15" spans="5:14" ht="50.45" customHeight="1">
      <c r="E15" s="197" t="s">
        <v>22</v>
      </c>
      <c r="F15" s="198"/>
      <c r="G15" s="198"/>
      <c r="H15" s="199"/>
      <c r="I15" s="187" t="s">
        <v>23</v>
      </c>
      <c r="J15" s="187"/>
      <c r="K15" s="187"/>
      <c r="L15" s="187"/>
      <c r="M15" s="187"/>
      <c r="N15" s="187"/>
    </row>
    <row r="16" spans="5:14" ht="71.45" customHeight="1">
      <c r="E16" s="194" t="s">
        <v>24</v>
      </c>
      <c r="F16" s="195"/>
      <c r="G16" s="195"/>
      <c r="H16" s="196"/>
      <c r="I16" s="187" t="s">
        <v>25</v>
      </c>
      <c r="J16" s="187"/>
      <c r="K16" s="187"/>
      <c r="L16" s="187"/>
      <c r="M16" s="187"/>
      <c r="N16" s="187"/>
    </row>
    <row r="17" spans="5:14" ht="71.45" customHeight="1">
      <c r="E17" s="194" t="s">
        <v>26</v>
      </c>
      <c r="F17" s="195"/>
      <c r="G17" s="195"/>
      <c r="H17" s="196"/>
      <c r="I17" s="187" t="s">
        <v>27</v>
      </c>
      <c r="J17" s="187"/>
      <c r="K17" s="187"/>
      <c r="L17" s="187"/>
      <c r="M17" s="187"/>
      <c r="N17" s="187"/>
    </row>
    <row r="18" spans="5:14" ht="71.45" customHeight="1">
      <c r="E18" s="194" t="s">
        <v>28</v>
      </c>
      <c r="F18" s="195"/>
      <c r="G18" s="195"/>
      <c r="H18" s="196"/>
      <c r="I18" s="187" t="s">
        <v>29</v>
      </c>
      <c r="J18" s="187"/>
      <c r="K18" s="187"/>
      <c r="L18" s="187"/>
      <c r="M18" s="187"/>
      <c r="N18" s="187"/>
    </row>
    <row r="19" spans="5:14" ht="71.45" customHeight="1">
      <c r="E19" s="194" t="s">
        <v>30</v>
      </c>
      <c r="F19" s="195"/>
      <c r="G19" s="195"/>
      <c r="H19" s="196"/>
      <c r="I19" s="187" t="s">
        <v>31</v>
      </c>
      <c r="J19" s="187"/>
      <c r="K19" s="187"/>
      <c r="L19" s="187"/>
      <c r="M19" s="187"/>
      <c r="N19" s="187"/>
    </row>
    <row r="20" spans="5:14" ht="71.45" customHeight="1">
      <c r="E20" s="202" t="s">
        <v>32</v>
      </c>
      <c r="F20" s="203"/>
      <c r="G20" s="203"/>
      <c r="H20" s="204"/>
      <c r="I20" s="187" t="s">
        <v>33</v>
      </c>
      <c r="J20" s="187"/>
      <c r="K20" s="187"/>
      <c r="L20" s="187"/>
      <c r="M20" s="187"/>
      <c r="N20" s="187"/>
    </row>
    <row r="21" spans="5:14" ht="71.45" customHeight="1">
      <c r="E21" s="201" t="s">
        <v>34</v>
      </c>
      <c r="F21" s="201"/>
      <c r="G21" s="201"/>
      <c r="H21" s="201"/>
      <c r="I21" s="187" t="s">
        <v>35</v>
      </c>
      <c r="J21" s="187"/>
      <c r="K21" s="187"/>
      <c r="L21" s="187"/>
      <c r="M21" s="187"/>
      <c r="N21" s="187"/>
    </row>
    <row r="22" spans="5:14" ht="71.45" customHeight="1">
      <c r="E22" s="201" t="s">
        <v>36</v>
      </c>
      <c r="F22" s="201"/>
      <c r="G22" s="201"/>
      <c r="H22" s="201"/>
      <c r="I22" s="187" t="s">
        <v>37</v>
      </c>
      <c r="J22" s="187"/>
      <c r="K22" s="187"/>
      <c r="L22" s="187"/>
      <c r="M22" s="187"/>
      <c r="N22" s="187"/>
    </row>
    <row r="23" spans="5:14" ht="71.45" customHeight="1">
      <c r="E23" s="201" t="s">
        <v>38</v>
      </c>
      <c r="F23" s="201"/>
      <c r="G23" s="201"/>
      <c r="H23" s="201"/>
      <c r="I23" s="208" t="s">
        <v>39</v>
      </c>
      <c r="J23" s="208"/>
      <c r="K23" s="208"/>
      <c r="L23" s="208"/>
      <c r="M23" s="208"/>
      <c r="N23" s="208"/>
    </row>
    <row r="24" spans="5:14" ht="71.45" customHeight="1">
      <c r="E24" s="201" t="s">
        <v>40</v>
      </c>
      <c r="F24" s="201"/>
      <c r="G24" s="201"/>
      <c r="H24" s="201"/>
      <c r="I24" s="187" t="s">
        <v>41</v>
      </c>
      <c r="J24" s="187"/>
      <c r="K24" s="187"/>
      <c r="L24" s="187"/>
      <c r="M24" s="187"/>
      <c r="N24" s="187"/>
    </row>
    <row r="25" spans="5:14" ht="71.45" customHeight="1">
      <c r="E25" s="201" t="s">
        <v>42</v>
      </c>
      <c r="F25" s="201"/>
      <c r="G25" s="201"/>
      <c r="H25" s="201"/>
      <c r="I25" s="187" t="s">
        <v>43</v>
      </c>
      <c r="J25" s="187"/>
      <c r="K25" s="187"/>
      <c r="L25" s="187"/>
      <c r="M25" s="187"/>
      <c r="N25" s="187"/>
    </row>
    <row r="26" spans="5:14" ht="71.45" customHeight="1">
      <c r="E26" s="205" t="s">
        <v>44</v>
      </c>
      <c r="F26" s="205"/>
      <c r="G26" s="205"/>
      <c r="H26" s="205"/>
      <c r="I26" s="187" t="s">
        <v>45</v>
      </c>
      <c r="J26" s="187"/>
      <c r="K26" s="187"/>
      <c r="L26" s="187"/>
      <c r="M26" s="187"/>
      <c r="N26" s="187"/>
    </row>
    <row r="27" spans="5:14" ht="71.45" customHeight="1">
      <c r="E27" s="200" t="s">
        <v>46</v>
      </c>
      <c r="F27" s="200"/>
      <c r="G27" s="200"/>
      <c r="H27" s="200"/>
      <c r="I27" s="187" t="s">
        <v>47</v>
      </c>
      <c r="J27" s="187"/>
      <c r="K27" s="187"/>
      <c r="L27" s="187"/>
      <c r="M27" s="187"/>
      <c r="N27" s="187"/>
    </row>
    <row r="28" spans="5:14" ht="71.45" customHeight="1">
      <c r="E28" s="200" t="s">
        <v>48</v>
      </c>
      <c r="F28" s="200"/>
      <c r="G28" s="200"/>
      <c r="H28" s="200"/>
      <c r="I28" s="187" t="s">
        <v>49</v>
      </c>
      <c r="J28" s="187"/>
      <c r="K28" s="187"/>
      <c r="L28" s="187"/>
      <c r="M28" s="187"/>
      <c r="N28" s="187"/>
    </row>
    <row r="29" spans="5:14" ht="71.45" customHeight="1">
      <c r="E29" s="200" t="s">
        <v>50</v>
      </c>
      <c r="F29" s="200"/>
      <c r="G29" s="200"/>
      <c r="H29" s="200"/>
      <c r="I29" s="187" t="s">
        <v>51</v>
      </c>
      <c r="J29" s="187"/>
      <c r="K29" s="187"/>
      <c r="L29" s="187"/>
      <c r="M29" s="187"/>
      <c r="N29" s="187"/>
    </row>
    <row r="30" spans="5:14">
      <c r="E30" s="207"/>
      <c r="F30" s="207"/>
      <c r="G30" s="207"/>
      <c r="H30" s="207"/>
      <c r="I30" s="207"/>
      <c r="J30" s="207"/>
      <c r="K30" s="207"/>
      <c r="L30" s="207"/>
      <c r="M30" s="207"/>
      <c r="N30" s="207"/>
    </row>
    <row r="31" spans="5:14">
      <c r="E31" s="206"/>
      <c r="F31" s="206"/>
      <c r="G31" s="206"/>
      <c r="H31" s="206"/>
      <c r="I31" s="206"/>
      <c r="J31" s="206"/>
      <c r="K31" s="206"/>
      <c r="L31" s="206"/>
      <c r="M31" s="206"/>
    </row>
    <row r="32" spans="5:14">
      <c r="E32" s="206"/>
      <c r="F32" s="206"/>
      <c r="G32" s="206"/>
      <c r="H32" s="206"/>
      <c r="I32" s="206"/>
      <c r="J32" s="206"/>
      <c r="K32" s="206"/>
      <c r="L32" s="206"/>
      <c r="M32" s="206"/>
    </row>
    <row r="33" spans="5:13">
      <c r="E33" s="206"/>
      <c r="F33" s="206"/>
      <c r="G33" s="206"/>
      <c r="H33" s="206"/>
      <c r="I33" s="206"/>
      <c r="J33" s="206"/>
      <c r="K33" s="206"/>
      <c r="L33" s="206"/>
      <c r="M33" s="206"/>
    </row>
    <row r="34" spans="5:13">
      <c r="E34" s="206"/>
      <c r="F34" s="206"/>
      <c r="G34" s="206"/>
      <c r="H34" s="206"/>
      <c r="I34" s="206"/>
      <c r="J34" s="206"/>
      <c r="K34" s="206"/>
      <c r="L34" s="206"/>
      <c r="M34" s="206"/>
    </row>
    <row r="35" spans="5:13">
      <c r="E35" s="206"/>
      <c r="F35" s="206"/>
      <c r="G35" s="206"/>
      <c r="H35" s="206"/>
      <c r="I35" s="206"/>
      <c r="J35" s="206"/>
      <c r="K35" s="206"/>
      <c r="L35" s="206"/>
      <c r="M35" s="206"/>
    </row>
    <row r="36" spans="5:13">
      <c r="E36" s="206"/>
      <c r="F36" s="206"/>
      <c r="G36" s="206"/>
      <c r="H36" s="206"/>
      <c r="I36" s="206"/>
      <c r="J36" s="206"/>
      <c r="K36" s="206"/>
      <c r="L36" s="206"/>
      <c r="M36" s="206"/>
    </row>
    <row r="37" spans="5:13">
      <c r="E37" s="206"/>
      <c r="F37" s="206"/>
      <c r="G37" s="206"/>
      <c r="H37" s="206"/>
      <c r="I37" s="206"/>
      <c r="J37" s="206"/>
      <c r="K37" s="206"/>
      <c r="L37" s="206"/>
      <c r="M37" s="206"/>
    </row>
  </sheetData>
  <mergeCells count="70">
    <mergeCell ref="I14:N14"/>
    <mergeCell ref="E4:H4"/>
    <mergeCell ref="E5:H5"/>
    <mergeCell ref="E3:H3"/>
    <mergeCell ref="E1:N1"/>
    <mergeCell ref="E2:N2"/>
    <mergeCell ref="I3:N3"/>
    <mergeCell ref="I4:N4"/>
    <mergeCell ref="I5:N5"/>
    <mergeCell ref="E12:H12"/>
    <mergeCell ref="E13:H13"/>
    <mergeCell ref="E9:H9"/>
    <mergeCell ref="E8:H8"/>
    <mergeCell ref="E6:M6"/>
    <mergeCell ref="E10:M10"/>
    <mergeCell ref="E11:M11"/>
    <mergeCell ref="I15:N15"/>
    <mergeCell ref="I16:N16"/>
    <mergeCell ref="I17:N17"/>
    <mergeCell ref="I18:N18"/>
    <mergeCell ref="I19:N19"/>
    <mergeCell ref="I20:N20"/>
    <mergeCell ref="I21:N21"/>
    <mergeCell ref="I22:N22"/>
    <mergeCell ref="I23:N23"/>
    <mergeCell ref="I24:N24"/>
    <mergeCell ref="I37:M37"/>
    <mergeCell ref="I36:M36"/>
    <mergeCell ref="I34:M34"/>
    <mergeCell ref="I33:M33"/>
    <mergeCell ref="I32:M32"/>
    <mergeCell ref="I35:M35"/>
    <mergeCell ref="E29:H29"/>
    <mergeCell ref="E30:H30"/>
    <mergeCell ref="E31:H31"/>
    <mergeCell ref="I31:M31"/>
    <mergeCell ref="E36:H36"/>
    <mergeCell ref="I30:N30"/>
    <mergeCell ref="E37:H37"/>
    <mergeCell ref="E32:H32"/>
    <mergeCell ref="E33:H33"/>
    <mergeCell ref="E34:H34"/>
    <mergeCell ref="E35:H35"/>
    <mergeCell ref="E28:H28"/>
    <mergeCell ref="E23:H23"/>
    <mergeCell ref="E24:H24"/>
    <mergeCell ref="E25:H25"/>
    <mergeCell ref="E20:H20"/>
    <mergeCell ref="E21:H21"/>
    <mergeCell ref="E22:H22"/>
    <mergeCell ref="E26:H26"/>
    <mergeCell ref="E27:H27"/>
    <mergeCell ref="E17:H17"/>
    <mergeCell ref="E18:H18"/>
    <mergeCell ref="E19:H19"/>
    <mergeCell ref="E14:H14"/>
    <mergeCell ref="E15:H15"/>
    <mergeCell ref="E16:H16"/>
    <mergeCell ref="E7:M7"/>
    <mergeCell ref="I12:N12"/>
    <mergeCell ref="I13:N13"/>
    <mergeCell ref="N6:N9"/>
    <mergeCell ref="N10:N11"/>
    <mergeCell ref="I9:M9"/>
    <mergeCell ref="I8:M8"/>
    <mergeCell ref="I25:N25"/>
    <mergeCell ref="I26:N26"/>
    <mergeCell ref="I27:N27"/>
    <mergeCell ref="I28:N28"/>
    <mergeCell ref="I29:N2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CD80C-7F81-4603-9E67-9FBD4EB6AEDF}">
  <dimension ref="A1:T21"/>
  <sheetViews>
    <sheetView topLeftCell="E1" zoomScale="70" zoomScaleNormal="70" workbookViewId="0">
      <selection activeCell="T4" sqref="T4"/>
    </sheetView>
  </sheetViews>
  <sheetFormatPr defaultColWidth="11.42578125" defaultRowHeight="14.45"/>
  <cols>
    <col min="1" max="1" width="60.42578125" bestFit="1" customWidth="1"/>
    <col min="2" max="2" width="77.85546875" customWidth="1"/>
    <col min="3" max="3" width="32.28515625" customWidth="1"/>
    <col min="4" max="4" width="26.28515625" customWidth="1"/>
    <col min="5" max="5" width="48.42578125" bestFit="1" customWidth="1"/>
    <col min="6" max="6" width="20.85546875" customWidth="1"/>
    <col min="7" max="7" width="48.5703125" customWidth="1"/>
    <col min="8" max="8" width="32.140625" hidden="1" customWidth="1"/>
    <col min="9" max="9" width="71.42578125" hidden="1" customWidth="1"/>
    <col min="10" max="10" width="29" hidden="1" customWidth="1"/>
    <col min="11" max="11" width="23.140625" hidden="1" customWidth="1"/>
    <col min="12" max="12" width="20.5703125" hidden="1" customWidth="1"/>
    <col min="13" max="13" width="10.85546875" hidden="1" customWidth="1"/>
    <col min="14" max="14" width="21.28515625" bestFit="1" customWidth="1"/>
    <col min="15" max="15" width="21.140625" bestFit="1" customWidth="1"/>
    <col min="16" max="16" width="24.28515625" bestFit="1" customWidth="1"/>
    <col min="17" max="17" width="15.140625" bestFit="1" customWidth="1"/>
    <col min="18" max="18" width="12.85546875" bestFit="1" customWidth="1"/>
    <col min="19" max="19" width="17" bestFit="1" customWidth="1"/>
  </cols>
  <sheetData>
    <row r="1" spans="1:20" ht="20.45" customHeight="1">
      <c r="A1" s="13" t="s">
        <v>569</v>
      </c>
      <c r="B1" s="13" t="s">
        <v>6</v>
      </c>
      <c r="C1" s="480" t="s">
        <v>8</v>
      </c>
      <c r="D1" s="481"/>
      <c r="E1" s="13" t="s">
        <v>14</v>
      </c>
      <c r="F1" s="13" t="s">
        <v>570</v>
      </c>
      <c r="G1" s="13" t="s">
        <v>571</v>
      </c>
      <c r="H1" s="13" t="s">
        <v>570</v>
      </c>
      <c r="I1" s="13" t="s">
        <v>571</v>
      </c>
      <c r="J1" s="56"/>
      <c r="K1" s="56"/>
      <c r="L1" s="56"/>
      <c r="M1" s="56"/>
      <c r="N1" s="13" t="s">
        <v>572</v>
      </c>
      <c r="O1" s="13" t="s">
        <v>87</v>
      </c>
      <c r="P1" s="13" t="s">
        <v>89</v>
      </c>
      <c r="Q1" s="13" t="s">
        <v>90</v>
      </c>
      <c r="R1" s="13" t="s">
        <v>91</v>
      </c>
      <c r="S1" s="13" t="s">
        <v>46</v>
      </c>
      <c r="T1" s="160" t="s">
        <v>50</v>
      </c>
    </row>
    <row r="2" spans="1:20" ht="78" customHeight="1">
      <c r="A2" s="10" t="s">
        <v>92</v>
      </c>
      <c r="B2" s="11" t="s">
        <v>573</v>
      </c>
      <c r="C2" s="10" t="s">
        <v>135</v>
      </c>
      <c r="D2" s="10" t="s">
        <v>339</v>
      </c>
      <c r="E2" s="25" t="s">
        <v>129</v>
      </c>
      <c r="F2" s="25" t="s">
        <v>574</v>
      </c>
      <c r="G2" s="25" t="s">
        <v>575</v>
      </c>
      <c r="H2" s="482" t="s">
        <v>574</v>
      </c>
      <c r="I2" s="58" t="s">
        <v>575</v>
      </c>
      <c r="J2" s="60" t="s">
        <v>574</v>
      </c>
      <c r="K2" t="s">
        <v>574</v>
      </c>
      <c r="L2" t="str">
        <f>IF(NOT(ISERROR(MATCH(K2,H14:H16,0))),J16&amp;"Por favor no seleccionar los criterios de impacto",K2)</f>
        <v>❌Por favor no seleccionar los criterios de impacto</v>
      </c>
      <c r="N2" s="25" t="s">
        <v>542</v>
      </c>
      <c r="O2" s="25" t="s">
        <v>549</v>
      </c>
      <c r="P2" s="25" t="s">
        <v>553</v>
      </c>
      <c r="Q2" s="25" t="s">
        <v>559</v>
      </c>
      <c r="R2" s="25" t="s">
        <v>576</v>
      </c>
      <c r="S2" s="25" t="s">
        <v>577</v>
      </c>
      <c r="T2" s="25" t="s">
        <v>578</v>
      </c>
    </row>
    <row r="3" spans="1:20" ht="78" customHeight="1">
      <c r="A3" s="10" t="s">
        <v>105</v>
      </c>
      <c r="B3" s="11" t="s">
        <v>579</v>
      </c>
      <c r="C3" s="10" t="s">
        <v>580</v>
      </c>
      <c r="D3" s="10" t="s">
        <v>142</v>
      </c>
      <c r="E3" s="10" t="s">
        <v>483</v>
      </c>
      <c r="F3" s="25" t="s">
        <v>574</v>
      </c>
      <c r="G3" s="25" t="s">
        <v>511</v>
      </c>
      <c r="H3" s="482"/>
      <c r="I3" s="58" t="s">
        <v>511</v>
      </c>
      <c r="J3" s="61" t="s">
        <v>509</v>
      </c>
      <c r="N3" s="25" t="s">
        <v>540</v>
      </c>
      <c r="O3" s="25" t="s">
        <v>581</v>
      </c>
      <c r="P3" s="25" t="s">
        <v>582</v>
      </c>
      <c r="Q3" s="25" t="s">
        <v>561</v>
      </c>
      <c r="R3" s="25" t="s">
        <v>583</v>
      </c>
      <c r="S3" s="25" t="s">
        <v>584</v>
      </c>
      <c r="T3" s="25" t="s">
        <v>585</v>
      </c>
    </row>
    <row r="4" spans="1:20" ht="109.5" customHeight="1">
      <c r="A4" s="10" t="s">
        <v>141</v>
      </c>
      <c r="B4" s="11" t="s">
        <v>586</v>
      </c>
      <c r="C4" s="10" t="s">
        <v>416</v>
      </c>
      <c r="D4" s="10" t="s">
        <v>156</v>
      </c>
      <c r="E4" s="10" t="s">
        <v>248</v>
      </c>
      <c r="F4" s="25" t="s">
        <v>574</v>
      </c>
      <c r="G4" s="25" t="s">
        <v>282</v>
      </c>
      <c r="H4" s="482"/>
      <c r="I4" s="58" t="s">
        <v>282</v>
      </c>
      <c r="J4" s="61" t="s">
        <v>511</v>
      </c>
      <c r="N4" s="25" t="s">
        <v>544</v>
      </c>
      <c r="S4" s="25" t="s">
        <v>587</v>
      </c>
    </row>
    <row r="5" spans="1:20" ht="78" customHeight="1">
      <c r="A5" s="10" t="s">
        <v>123</v>
      </c>
      <c r="B5" s="11" t="s">
        <v>588</v>
      </c>
      <c r="C5" s="10" t="s">
        <v>113</v>
      </c>
      <c r="D5" s="10" t="s">
        <v>93</v>
      </c>
      <c r="E5" s="10" t="s">
        <v>381</v>
      </c>
      <c r="F5" s="25" t="s">
        <v>574</v>
      </c>
      <c r="G5" s="25" t="s">
        <v>139</v>
      </c>
      <c r="H5" s="482"/>
      <c r="I5" s="58" t="s">
        <v>139</v>
      </c>
      <c r="J5" s="61" t="s">
        <v>282</v>
      </c>
      <c r="S5" s="25" t="s">
        <v>589</v>
      </c>
    </row>
    <row r="6" spans="1:20" ht="78" customHeight="1">
      <c r="A6" s="10" t="s">
        <v>161</v>
      </c>
      <c r="B6" s="11" t="s">
        <v>590</v>
      </c>
      <c r="C6" s="10" t="s">
        <v>591</v>
      </c>
      <c r="D6" s="10"/>
      <c r="E6" s="10" t="s">
        <v>487</v>
      </c>
      <c r="F6" s="25" t="s">
        <v>574</v>
      </c>
      <c r="G6" s="25" t="s">
        <v>515</v>
      </c>
      <c r="H6" s="482"/>
      <c r="I6" s="58" t="s">
        <v>515</v>
      </c>
      <c r="J6" s="61" t="s">
        <v>139</v>
      </c>
    </row>
    <row r="7" spans="1:20" ht="78" customHeight="1">
      <c r="A7" s="10" t="s">
        <v>181</v>
      </c>
      <c r="B7" s="11" t="s">
        <v>592</v>
      </c>
      <c r="C7" s="10" t="s">
        <v>106</v>
      </c>
      <c r="D7" s="10"/>
      <c r="E7" s="10" t="s">
        <v>94</v>
      </c>
      <c r="F7" s="25" t="s">
        <v>507</v>
      </c>
      <c r="G7" s="25" t="s">
        <v>98</v>
      </c>
      <c r="H7" s="482" t="s">
        <v>507</v>
      </c>
      <c r="I7" s="58" t="s">
        <v>98</v>
      </c>
      <c r="J7" s="61" t="s">
        <v>515</v>
      </c>
    </row>
    <row r="8" spans="1:20" ht="78" customHeight="1">
      <c r="A8" s="10" t="s">
        <v>207</v>
      </c>
      <c r="B8" s="11" t="s">
        <v>593</v>
      </c>
      <c r="E8" s="10" t="s">
        <v>340</v>
      </c>
      <c r="F8" s="25" t="s">
        <v>507</v>
      </c>
      <c r="G8" s="25" t="s">
        <v>102</v>
      </c>
      <c r="H8" s="482"/>
      <c r="I8" s="58" t="s">
        <v>102</v>
      </c>
      <c r="J8" s="60" t="s">
        <v>507</v>
      </c>
    </row>
    <row r="9" spans="1:20" ht="78" customHeight="1">
      <c r="A9" s="10" t="s">
        <v>223</v>
      </c>
      <c r="B9" s="11" t="s">
        <v>594</v>
      </c>
      <c r="F9" s="25" t="s">
        <v>507</v>
      </c>
      <c r="G9" s="25" t="s">
        <v>110</v>
      </c>
      <c r="H9" s="482"/>
      <c r="I9" s="58" t="s">
        <v>110</v>
      </c>
      <c r="J9" s="62" t="s">
        <v>98</v>
      </c>
    </row>
    <row r="10" spans="1:20" ht="78" customHeight="1">
      <c r="A10" s="10" t="s">
        <v>234</v>
      </c>
      <c r="B10" s="11" t="s">
        <v>595</v>
      </c>
      <c r="F10" s="25" t="s">
        <v>507</v>
      </c>
      <c r="G10" s="25" t="s">
        <v>117</v>
      </c>
      <c r="H10" s="482"/>
      <c r="I10" s="58" t="s">
        <v>117</v>
      </c>
      <c r="J10" s="62" t="s">
        <v>102</v>
      </c>
    </row>
    <row r="11" spans="1:20" ht="78" customHeight="1">
      <c r="A11" s="10" t="s">
        <v>247</v>
      </c>
      <c r="B11" s="11" t="s">
        <v>596</v>
      </c>
      <c r="F11" s="25" t="s">
        <v>507</v>
      </c>
      <c r="G11" s="25" t="s">
        <v>170</v>
      </c>
      <c r="H11" s="482"/>
      <c r="I11" s="58" t="s">
        <v>170</v>
      </c>
      <c r="J11" s="62" t="s">
        <v>110</v>
      </c>
    </row>
    <row r="12" spans="1:20" ht="78" customHeight="1">
      <c r="A12" s="10" t="s">
        <v>271</v>
      </c>
      <c r="B12" s="11" t="s">
        <v>597</v>
      </c>
      <c r="H12" s="57"/>
      <c r="J12" s="62" t="s">
        <v>117</v>
      </c>
    </row>
    <row r="13" spans="1:20" ht="78" customHeight="1">
      <c r="A13" s="10" t="s">
        <v>287</v>
      </c>
      <c r="B13" s="11" t="s">
        <v>598</v>
      </c>
      <c r="H13" s="57"/>
      <c r="J13" s="62" t="s">
        <v>170</v>
      </c>
    </row>
    <row r="14" spans="1:20" ht="42.95" customHeight="1">
      <c r="A14" s="10" t="s">
        <v>307</v>
      </c>
      <c r="B14" s="11" t="s">
        <v>599</v>
      </c>
      <c r="H14" t="s">
        <v>600</v>
      </c>
    </row>
    <row r="15" spans="1:20" ht="42.95" customHeight="1">
      <c r="A15" s="10" t="s">
        <v>331</v>
      </c>
      <c r="B15" s="11" t="s">
        <v>601</v>
      </c>
      <c r="H15" t="s">
        <v>574</v>
      </c>
    </row>
    <row r="16" spans="1:20" ht="78" customHeight="1">
      <c r="A16" s="10" t="s">
        <v>354</v>
      </c>
      <c r="B16" s="11" t="s">
        <v>602</v>
      </c>
      <c r="H16" t="s">
        <v>507</v>
      </c>
      <c r="J16" s="59" t="s">
        <v>603</v>
      </c>
    </row>
    <row r="17" spans="1:10" ht="78" customHeight="1">
      <c r="A17" s="10" t="s">
        <v>374</v>
      </c>
      <c r="B17" s="11" t="s">
        <v>604</v>
      </c>
      <c r="J17" s="59" t="s">
        <v>605</v>
      </c>
    </row>
    <row r="18" spans="1:10" ht="78" customHeight="1">
      <c r="A18" s="10" t="s">
        <v>380</v>
      </c>
      <c r="B18" s="11" t="s">
        <v>606</v>
      </c>
    </row>
    <row r="19" spans="1:10" ht="78" customHeight="1">
      <c r="A19" s="10" t="s">
        <v>415</v>
      </c>
      <c r="B19" s="11" t="s">
        <v>607</v>
      </c>
    </row>
    <row r="20" spans="1:10" ht="78" customHeight="1">
      <c r="A20" s="10" t="s">
        <v>439</v>
      </c>
      <c r="B20" s="12" t="s">
        <v>608</v>
      </c>
    </row>
    <row r="21" spans="1:10" ht="28.15">
      <c r="A21" s="10" t="s">
        <v>454</v>
      </c>
      <c r="B21" s="12" t="s">
        <v>609</v>
      </c>
    </row>
  </sheetData>
  <mergeCells count="3">
    <mergeCell ref="C1:D1"/>
    <mergeCell ref="H2:H6"/>
    <mergeCell ref="H7:H11"/>
  </mergeCells>
  <dataValidations count="1">
    <dataValidation type="list" allowBlank="1" showInputMessage="1" showErrorMessage="1" sqref="K2" xr:uid="{CEFCB7AF-939E-47E4-BC16-760BA4C2022B}">
      <formula1>$J$2:$J$13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D04CD-274C-4C0F-9241-A7415F791995}">
  <dimension ref="A1:AJ114"/>
  <sheetViews>
    <sheetView tabSelected="1" view="pageBreakPreview" topLeftCell="A11" zoomScale="70" zoomScaleNormal="30" zoomScaleSheetLayoutView="70" workbookViewId="0">
      <pane xSplit="8" ySplit="3" topLeftCell="I43" activePane="bottomRight" state="frozen"/>
      <selection pane="bottomRight" activeCell="H44" sqref="H44:H45"/>
      <selection pane="bottomLeft" activeCell="A14" sqref="A14"/>
      <selection pane="topRight" activeCell="I11" sqref="I11"/>
    </sheetView>
  </sheetViews>
  <sheetFormatPr defaultColWidth="10.85546875" defaultRowHeight="13.9"/>
  <cols>
    <col min="1" max="1" width="7.42578125" style="9" customWidth="1"/>
    <col min="2" max="2" width="27.7109375" style="9" customWidth="1"/>
    <col min="3" max="3" width="62.85546875" style="9" bestFit="1" customWidth="1"/>
    <col min="4" max="4" width="11" style="9" customWidth="1"/>
    <col min="5" max="5" width="9.42578125" style="9" customWidth="1"/>
    <col min="6" max="6" width="10.85546875" style="9"/>
    <col min="7" max="7" width="42.42578125" style="9" customWidth="1"/>
    <col min="8" max="8" width="27.7109375" style="9" customWidth="1"/>
    <col min="9" max="9" width="74" style="9" customWidth="1"/>
    <col min="10" max="10" width="18.85546875" style="9" customWidth="1"/>
    <col min="11" max="11" width="23.140625" style="9" customWidth="1"/>
    <col min="12" max="12" width="10.42578125" style="9" customWidth="1"/>
    <col min="13" max="13" width="47.42578125" style="9" customWidth="1"/>
    <col min="14" max="14" width="29.85546875" style="9" customWidth="1"/>
    <col min="15" max="15" width="19.85546875" style="9" customWidth="1"/>
    <col min="16" max="16" width="9.85546875" style="9" customWidth="1"/>
    <col min="17" max="17" width="21.28515625" style="9" customWidth="1"/>
    <col min="18" max="18" width="10.85546875" style="9"/>
    <col min="19" max="19" width="57.5703125" style="9" customWidth="1"/>
    <col min="20" max="20" width="25.42578125" style="9" customWidth="1"/>
    <col min="21" max="21" width="16.7109375" style="9" customWidth="1"/>
    <col min="22" max="27" width="10.85546875" style="9"/>
    <col min="28" max="28" width="10.85546875" style="9" hidden="1" customWidth="1"/>
    <col min="29" max="29" width="10.85546875" style="9" customWidth="1"/>
    <col min="30" max="33" width="10.85546875" style="9"/>
    <col min="34" max="35" width="26.42578125" style="9" customWidth="1"/>
    <col min="36" max="36" width="17.5703125" style="9" customWidth="1"/>
    <col min="37" max="16384" width="10.85546875" style="9"/>
  </cols>
  <sheetData>
    <row r="1" spans="1:36" ht="14.45" customHeight="1">
      <c r="A1" s="193" t="s">
        <v>52</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row>
    <row r="2" spans="1:36" ht="14.45" customHeight="1">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36" ht="86.1" customHeight="1">
      <c r="A3" s="193"/>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row>
    <row r="4" spans="1:36" ht="14.45" customHeight="1">
      <c r="A4" s="244" t="s">
        <v>53</v>
      </c>
      <c r="B4" s="244"/>
      <c r="C4" s="247" t="s">
        <v>54</v>
      </c>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row>
    <row r="5" spans="1:36">
      <c r="A5" s="245" t="s">
        <v>55</v>
      </c>
      <c r="B5" s="245"/>
      <c r="C5" s="246" t="s">
        <v>56</v>
      </c>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row>
    <row r="6" spans="1:36">
      <c r="A6" s="249" t="s">
        <v>30</v>
      </c>
      <c r="B6" s="249"/>
      <c r="C6" s="246" t="s">
        <v>57</v>
      </c>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row>
    <row r="7" spans="1:36" ht="36.950000000000003" customHeight="1">
      <c r="A7" s="260" t="s">
        <v>58</v>
      </c>
      <c r="B7" s="260"/>
      <c r="C7" s="247" t="s">
        <v>59</v>
      </c>
      <c r="D7" s="247"/>
      <c r="E7" s="247"/>
      <c r="F7" s="247"/>
      <c r="G7" s="247"/>
      <c r="H7" s="297" t="s">
        <v>60</v>
      </c>
      <c r="I7" s="297"/>
      <c r="J7" s="297"/>
      <c r="K7" s="297"/>
      <c r="L7" s="297"/>
      <c r="M7" s="297" t="s">
        <v>61</v>
      </c>
      <c r="N7" s="297"/>
      <c r="O7" s="297"/>
      <c r="P7" s="297"/>
      <c r="Q7" s="297"/>
      <c r="R7" s="297"/>
      <c r="S7" s="297"/>
      <c r="T7" s="297"/>
      <c r="U7" s="297"/>
      <c r="V7" s="297"/>
      <c r="W7" s="297"/>
      <c r="X7" s="297"/>
      <c r="Y7" s="297"/>
      <c r="Z7" s="297"/>
      <c r="AA7" s="297"/>
      <c r="AB7" s="297"/>
      <c r="AC7" s="297"/>
      <c r="AD7" s="297"/>
      <c r="AE7" s="297"/>
      <c r="AF7" s="297"/>
      <c r="AG7" s="297"/>
      <c r="AH7" s="297"/>
      <c r="AI7" s="297"/>
      <c r="AJ7" s="297"/>
    </row>
    <row r="8" spans="1:36" ht="15" customHeight="1" thickBot="1">
      <c r="A8" s="260"/>
      <c r="B8" s="260"/>
      <c r="C8" s="79" t="s">
        <v>62</v>
      </c>
      <c r="D8" s="311" t="s">
        <v>63</v>
      </c>
      <c r="E8" s="311"/>
      <c r="F8" s="311"/>
      <c r="G8" s="311"/>
      <c r="H8" s="311"/>
      <c r="I8" s="311"/>
      <c r="J8" s="311"/>
      <c r="K8" s="311"/>
      <c r="L8" s="311"/>
      <c r="M8" s="311"/>
      <c r="N8" s="311"/>
      <c r="O8" s="311"/>
      <c r="P8" s="311"/>
      <c r="Q8" s="311"/>
      <c r="R8" s="311"/>
      <c r="S8" s="311"/>
      <c r="T8" s="311"/>
      <c r="U8" s="311"/>
      <c r="V8" s="311"/>
      <c r="W8" s="311"/>
      <c r="X8" s="311"/>
      <c r="Y8" s="311"/>
      <c r="Z8" s="311"/>
      <c r="AA8" s="311"/>
      <c r="AB8" s="312"/>
      <c r="AC8" s="312"/>
      <c r="AD8" s="312"/>
      <c r="AE8" s="312"/>
      <c r="AF8" s="312"/>
      <c r="AG8" s="312"/>
      <c r="AH8" s="312"/>
      <c r="AI8" s="312"/>
      <c r="AJ8" s="312"/>
    </row>
    <row r="9" spans="1:36" ht="15.95" customHeight="1">
      <c r="A9" s="250" t="s">
        <v>64</v>
      </c>
      <c r="B9" s="252" t="s">
        <v>4</v>
      </c>
      <c r="C9" s="253" t="s">
        <v>6</v>
      </c>
      <c r="D9" s="256" t="s">
        <v>8</v>
      </c>
      <c r="E9" s="257"/>
      <c r="F9" s="252" t="s">
        <v>65</v>
      </c>
      <c r="G9" s="288" t="s">
        <v>66</v>
      </c>
      <c r="H9" s="288"/>
      <c r="I9" s="288"/>
      <c r="J9" s="289"/>
      <c r="K9" s="292" t="s">
        <v>67</v>
      </c>
      <c r="L9" s="293"/>
      <c r="M9" s="293"/>
      <c r="N9" s="293"/>
      <c r="O9" s="293"/>
      <c r="P9" s="293"/>
      <c r="Q9" s="294"/>
      <c r="R9" s="276" t="s">
        <v>68</v>
      </c>
      <c r="S9" s="277"/>
      <c r="T9" s="277"/>
      <c r="U9" s="277"/>
      <c r="V9" s="277"/>
      <c r="W9" s="277"/>
      <c r="X9" s="277"/>
      <c r="Y9" s="277"/>
      <c r="Z9" s="277"/>
      <c r="AA9" s="278"/>
      <c r="AB9" s="308" t="s">
        <v>69</v>
      </c>
      <c r="AC9" s="309"/>
      <c r="AD9" s="309"/>
      <c r="AE9" s="309"/>
      <c r="AF9" s="309"/>
      <c r="AG9" s="309"/>
      <c r="AH9" s="309"/>
      <c r="AI9" s="309"/>
      <c r="AJ9" s="310"/>
    </row>
    <row r="10" spans="1:36" ht="14.45" customHeight="1" thickBot="1">
      <c r="A10" s="251"/>
      <c r="B10" s="483"/>
      <c r="C10" s="254"/>
      <c r="D10" s="258"/>
      <c r="E10" s="259"/>
      <c r="F10" s="254"/>
      <c r="G10" s="290"/>
      <c r="H10" s="290"/>
      <c r="I10" s="290"/>
      <c r="J10" s="291"/>
      <c r="K10" s="292"/>
      <c r="L10" s="293"/>
      <c r="M10" s="293"/>
      <c r="N10" s="293"/>
      <c r="O10" s="293"/>
      <c r="P10" s="293"/>
      <c r="Q10" s="294"/>
      <c r="R10" s="279"/>
      <c r="S10" s="280"/>
      <c r="T10" s="280"/>
      <c r="U10" s="280"/>
      <c r="V10" s="280"/>
      <c r="W10" s="280"/>
      <c r="X10" s="280"/>
      <c r="Y10" s="280"/>
      <c r="Z10" s="280"/>
      <c r="AA10" s="281"/>
      <c r="AB10" s="279"/>
      <c r="AC10" s="280"/>
      <c r="AD10" s="280"/>
      <c r="AE10" s="280"/>
      <c r="AF10" s="280"/>
      <c r="AG10" s="280"/>
      <c r="AH10" s="280"/>
      <c r="AI10" s="280"/>
      <c r="AJ10" s="281"/>
    </row>
    <row r="11" spans="1:36" ht="15.95" customHeight="1" thickBot="1">
      <c r="A11" s="251"/>
      <c r="B11" s="483"/>
      <c r="C11" s="254"/>
      <c r="D11" s="261" t="s">
        <v>10</v>
      </c>
      <c r="E11" s="261" t="s">
        <v>12</v>
      </c>
      <c r="F11" s="254"/>
      <c r="G11" s="262" t="s">
        <v>70</v>
      </c>
      <c r="H11" s="262" t="s">
        <v>71</v>
      </c>
      <c r="I11" s="248" t="s">
        <v>72</v>
      </c>
      <c r="J11" s="262" t="s">
        <v>73</v>
      </c>
      <c r="K11" s="263" t="s">
        <v>74</v>
      </c>
      <c r="L11" s="263" t="s">
        <v>75</v>
      </c>
      <c r="M11" s="263" t="s">
        <v>76</v>
      </c>
      <c r="N11" s="263" t="s">
        <v>77</v>
      </c>
      <c r="O11" s="263" t="s">
        <v>78</v>
      </c>
      <c r="P11" s="263" t="s">
        <v>75</v>
      </c>
      <c r="Q11" s="264" t="s">
        <v>26</v>
      </c>
      <c r="R11" s="266" t="s">
        <v>79</v>
      </c>
      <c r="S11" s="248" t="s">
        <v>80</v>
      </c>
      <c r="T11" s="248" t="s">
        <v>30</v>
      </c>
      <c r="U11" s="248" t="s">
        <v>32</v>
      </c>
      <c r="V11" s="301" t="s">
        <v>81</v>
      </c>
      <c r="W11" s="302"/>
      <c r="X11" s="302"/>
      <c r="Y11" s="302"/>
      <c r="Z11" s="302"/>
      <c r="AA11" s="303"/>
      <c r="AB11" s="285" t="s">
        <v>82</v>
      </c>
      <c r="AC11" s="282" t="s">
        <v>83</v>
      </c>
      <c r="AD11" s="298" t="s">
        <v>75</v>
      </c>
      <c r="AE11" s="285" t="s">
        <v>84</v>
      </c>
      <c r="AF11" s="285" t="s">
        <v>75</v>
      </c>
      <c r="AG11" s="282" t="s">
        <v>85</v>
      </c>
      <c r="AH11" s="268" t="s">
        <v>46</v>
      </c>
      <c r="AI11" s="282" t="s">
        <v>48</v>
      </c>
      <c r="AJ11" s="268" t="s">
        <v>50</v>
      </c>
    </row>
    <row r="12" spans="1:36" ht="13.5" customHeight="1">
      <c r="A12" s="251"/>
      <c r="B12" s="483"/>
      <c r="C12" s="254"/>
      <c r="D12" s="254"/>
      <c r="E12" s="254"/>
      <c r="F12" s="254"/>
      <c r="G12" s="483"/>
      <c r="H12" s="483"/>
      <c r="I12" s="484"/>
      <c r="J12" s="483"/>
      <c r="K12" s="485"/>
      <c r="L12" s="485"/>
      <c r="M12" s="485"/>
      <c r="N12" s="485"/>
      <c r="O12" s="485"/>
      <c r="P12" s="485"/>
      <c r="Q12" s="265"/>
      <c r="R12" s="267"/>
      <c r="S12" s="484"/>
      <c r="T12" s="484"/>
      <c r="U12" s="484"/>
      <c r="V12" s="295" t="s">
        <v>86</v>
      </c>
      <c r="W12" s="304" t="s">
        <v>87</v>
      </c>
      <c r="X12" s="306" t="s">
        <v>88</v>
      </c>
      <c r="Y12" s="295" t="s">
        <v>89</v>
      </c>
      <c r="Z12" s="304" t="s">
        <v>90</v>
      </c>
      <c r="AA12" s="306" t="s">
        <v>91</v>
      </c>
      <c r="AB12" s="286"/>
      <c r="AC12" s="283"/>
      <c r="AD12" s="299"/>
      <c r="AE12" s="286"/>
      <c r="AF12" s="286"/>
      <c r="AG12" s="283"/>
      <c r="AH12" s="269"/>
      <c r="AI12" s="283"/>
      <c r="AJ12" s="269"/>
    </row>
    <row r="13" spans="1:36" ht="99.95" customHeight="1" thickBot="1">
      <c r="A13" s="251"/>
      <c r="B13" s="486"/>
      <c r="C13" s="255"/>
      <c r="D13" s="255"/>
      <c r="E13" s="255"/>
      <c r="F13" s="255"/>
      <c r="G13" s="486"/>
      <c r="H13" s="486"/>
      <c r="I13" s="487"/>
      <c r="J13" s="483"/>
      <c r="K13" s="485"/>
      <c r="L13" s="485"/>
      <c r="M13" s="485"/>
      <c r="N13" s="485"/>
      <c r="O13" s="485"/>
      <c r="P13" s="485"/>
      <c r="Q13" s="265"/>
      <c r="R13" s="267"/>
      <c r="S13" s="484"/>
      <c r="T13" s="484"/>
      <c r="U13" s="484"/>
      <c r="V13" s="296"/>
      <c r="W13" s="305"/>
      <c r="X13" s="307"/>
      <c r="Y13" s="296"/>
      <c r="Z13" s="305"/>
      <c r="AA13" s="307"/>
      <c r="AB13" s="287"/>
      <c r="AC13" s="284"/>
      <c r="AD13" s="300"/>
      <c r="AE13" s="287"/>
      <c r="AF13" s="287"/>
      <c r="AG13" s="284"/>
      <c r="AH13" s="270"/>
      <c r="AI13" s="284"/>
      <c r="AJ13" s="270"/>
    </row>
    <row r="14" spans="1:36" ht="183" customHeight="1">
      <c r="A14" s="216">
        <v>1</v>
      </c>
      <c r="B14" s="271" t="s">
        <v>92</v>
      </c>
      <c r="C14" s="272" t="str">
        <f>+IFERROR(VLOOKUP(B14,'Validacion de datos'!A:B,2,0),"")</f>
        <v>Establecer, implementar, mantener y mejorar el Sistema de Gestión con el propósito de fortalecer la mejora del desempeño de los procesos que permita responder al cumplimiento de los objetivos de la entidad y el cumplimiento de los requisitos legales, las necesidades y expectativas de los grupos de valor.</v>
      </c>
      <c r="D14" s="273"/>
      <c r="E14" s="273" t="s">
        <v>93</v>
      </c>
      <c r="F14" s="273" t="s">
        <v>94</v>
      </c>
      <c r="G14" s="275" t="s">
        <v>95</v>
      </c>
      <c r="H14" s="274" t="s">
        <v>96</v>
      </c>
      <c r="I14" s="50" t="s">
        <v>97</v>
      </c>
      <c r="J14" s="4">
        <v>243</v>
      </c>
      <c r="K14" s="52" t="str">
        <f>IF(J14&lt;=0,"",IF(J14&lt;=2,"Muy Baja",IF(J14&lt;=24,"Baja",IF(J14&lt;=500,"Media",IF(J14&lt;=5000,"Alta","Muy Alta")))))</f>
        <v>Media</v>
      </c>
      <c r="L14" s="54">
        <f t="shared" ref="L14:L112" si="0">IF(K14="","",IF(K14="Muy Baja",0.2,IF(K14="Baja",0.4,IF(K14="Media",0.6,IF(K14="Alta",0.8,IF(K14="Muy Alta",1,))))))</f>
        <v>0.6</v>
      </c>
      <c r="M14" s="2" t="s">
        <v>98</v>
      </c>
      <c r="N14" s="53" t="str">
        <f>IF(NOT(ISERROR(MATCH(M14,'Validacion de datos'!$H$14:$H$16,0))),'Validacion de datos'!$J$16&amp;"Por favor no seleccionar los criterios de impacto(Afectación Económica o presupuestal y Pérdida Reputacional)",M14)</f>
        <v>El riesgo afecta la imagen de alguna área de la organización</v>
      </c>
      <c r="O14" s="52" t="str">
        <f>IF(OR(N14=IMPACTO!$C$3,N14=IMPACTO!$D$3),"Leve",IF(OR(N14=IMPACTO!$C$4,N14=IMPACTO!$D$4),"Menor",IF(OR(N14=IMPACTO!$C$5,N14=IMPACTO!$D$5),"Moderado",IF(OR(N14=IMPACTO!$C$6,N14=IMPACTO!$D$6),"Mayor",IF(OR(N14=IMPACTO!$C$7,N14=IMPACTO!$D$7),"Catastrófico","")))))</f>
        <v>Leve</v>
      </c>
      <c r="P14" s="54">
        <f>IF(O14="","",IF(O14="Leve",0.2,IF(O14="Menor",0.4,IF(O14="Moderado",0.6,IF(O14="Mayor",0.8,IF(O14="Catastrófico",1,))))))</f>
        <v>0.2</v>
      </c>
      <c r="Q14" s="78" t="str">
        <f>IF(OR(AND(K14="Muy Baja",O14="Leve"),AND(K14="Muy Baja",O14="Menor"),AND(K14="Baja",O14="Leve")),"Bajo",IF(OR(AND(K14="Muy baja",O14="Moderado"),AND(K14="Baja",O14="Menor"),AND(K14="Baja",O14="Moderado"),AND(K14="Media",O14="Leve"),AND(K14="Media",O14="Menor"),AND(K14="Media",O14="Moderado"),AND(K14="Alta",O14="Leve"),AND(K14="Alta",O14="Menor")),"Moderado",IF(OR(AND(K14="Muy Baja",O14="Mayor"),AND(K14="Baja",O14="Mayor"),AND(K14="Media",O14="Mayor"),AND(K14="Alta",O14="Moderado"),AND(K14="Alta",O14="Mayor"),AND(K14="Muy Alta",O14="Leve"),AND(K14="Muy Alta",O14="Menor"),AND(K14="Muy Alta",O14="Moderado"),AND(K14="Muy Alta",O14="Mayor")),"Alto",IF(OR(AND(K14="Muy Baja",O14="Catastrófico"),AND(K14="Baja",O14="Catastrófico"),AND(K14="Media",O14="Catastrófico"),AND(K14="Alta",O14="Catastrófico"),AND(K14="Muy Alta",O14="Catastrófico")),"Extremo",""))))</f>
        <v>Moderado</v>
      </c>
      <c r="R14" s="39">
        <v>1</v>
      </c>
      <c r="S14" s="40" t="s">
        <v>99</v>
      </c>
      <c r="T14" s="4" t="s">
        <v>100</v>
      </c>
      <c r="U14" s="68" t="str">
        <f t="shared" ref="U14:U112" si="1">IF(OR(V14="Preventivo",V14="Detectivo"),"Probabilidad",IF(V14="Correctivo","Impacto",""))</f>
        <v/>
      </c>
      <c r="V14" s="64"/>
      <c r="W14" s="64"/>
      <c r="X14" s="69" t="str">
        <f t="shared" ref="X14:X15" si="2">IF(AND(V14="Preventivo",W14="Automática"),"50%",IF(AND(V14="Preventivo",W14="Manual"),"40%",IF(AND(V14="Detectivo",W14="Automática"),"40%",IF(AND(V14="Detectivo",W14="Manual"),"30%",IF(AND(V14="Correctivo",W14="Automática"),"35%",IF(AND(V14="Correctivo",W14="Manual"),"25%",""))))))</f>
        <v/>
      </c>
      <c r="Y14" s="64"/>
      <c r="Z14" s="64"/>
      <c r="AA14" s="64"/>
      <c r="AB14" s="164" t="str">
        <f t="shared" ref="AB14:AB15" si="3">IFERROR(IF(U14="Probabilidad",(L14-(+L14*X14)),IF(U14="Impacto",L14,"")),"")</f>
        <v/>
      </c>
      <c r="AC14" s="165" t="str">
        <f t="shared" ref="AC14:AC112" si="4">IFERROR(IF(AB14="","",IF(AB14&lt;=0.2,"Muy Baja",IF(AB14&lt;=0.4,"Baja",IF(AB14&lt;=0.6,"Media",IF(AB14&lt;=0.8,"Alta","Muy Alta"))))),"")</f>
        <v/>
      </c>
      <c r="AD14" s="166" t="str">
        <f t="shared" ref="AD14:AD15" si="5">+AB14</f>
        <v/>
      </c>
      <c r="AE14" s="165" t="str">
        <f t="shared" ref="AE14:AE112" si="6">IFERROR(IF(AF14="","",IF(AF14&lt;=0.2,"Leve",IF(AF14&lt;=0.4,"Menor",IF(AF14&lt;=0.6,"Moderado",IF(AF14&lt;=0.8,"Mayor","Catastrófico"))))),"")</f>
        <v/>
      </c>
      <c r="AF14" s="167" t="str">
        <f t="shared" ref="AF14:AF15" si="7">IFERROR(IF(U14="Impacto",(P14-(+P14*X14)),IF(U14="Probabilidad",P14,"")),"")</f>
        <v/>
      </c>
      <c r="AG14" s="168" t="str">
        <f t="shared" ref="AG14:AG15" si="8">IFERROR(IF(OR(AND(AC14="Muy Baja",AE14="Leve"),AND(AC14="Muy Baja",AE14="Menor"),AND(AC14="Baja",AE14="Leve")),"Bajo",IF(OR(AND(AC14="Muy baja",AE14="Moderado"),AND(AC14="Baja",AE14="Menor"),AND(AC14="Baja",AE14="Moderado"),AND(AC14="Media",AE14="Leve"),AND(AC14="Media",AE14="Menor"),AND(AC14="Media",AE14="Moderado"),AND(AC14="Alta",AE14="Leve"),AND(AC14="Alta",AE14="Menor")),"Moderado",IF(OR(AND(AC14="Muy Baja",AE14="Mayor"),AND(AC14="Baja",AE14="Mayor"),AND(AC14="Media",AE14="Mayor"),AND(AC14="Alta",AE14="Moderado"),AND(AC14="Alta",AE14="Mayor"),AND(AC14="Muy Alta",AE14="Leve"),AND(AC14="Muy Alta",AE14="Menor"),AND(AC14="Muy Alta",AE14="Moderado"),AND(AC14="Muy Alta",AE14="Mayor")),"Alto",IF(OR(AND(AC14="Muy Baja",AE14="Catastrófico"),AND(AC14="Baja",AE14="Catastrófico"),AND(AC14="Media",AE14="Catastrófico"),AND(AC14="Alta",AE14="Catastrófico"),AND(AC14="Muy Alta",AE14="Catastrófico")),"Extremo","")))),"")</f>
        <v/>
      </c>
      <c r="AH14" s="170"/>
      <c r="AI14" s="169"/>
      <c r="AJ14" s="170"/>
    </row>
    <row r="15" spans="1:36" ht="173.45" customHeight="1">
      <c r="A15" s="218"/>
      <c r="B15" s="218"/>
      <c r="C15" s="221"/>
      <c r="D15" s="227"/>
      <c r="E15" s="227"/>
      <c r="F15" s="227"/>
      <c r="G15" s="238"/>
      <c r="H15" s="234"/>
      <c r="I15" s="3" t="s">
        <v>101</v>
      </c>
      <c r="J15" s="4">
        <v>52</v>
      </c>
      <c r="K15" s="52" t="str">
        <f>IF(J15&lt;=0,"",IF(J15&lt;=2,"Muy Baja",IF(J15&lt;=24,"Baja",IF(J15&lt;=500,"Media",IF(J15&lt;=5000,"Alta","Muy Alta")))))</f>
        <v>Media</v>
      </c>
      <c r="L15" s="54">
        <f t="shared" si="0"/>
        <v>0.6</v>
      </c>
      <c r="M15" s="2" t="s">
        <v>102</v>
      </c>
      <c r="N15" s="53" t="str">
        <f>IF(NOT(ISERROR(MATCH(M15,'Validacion de datos'!$H$14:$H$16,0))),'Validacion de datos'!$J$16&amp;"Por favor no seleccionar los criterios de impacto(Afectación Económica o presupuestal y Pérdida Reputacional)",M15)</f>
        <v>El riesgo afecta la imagen de la entidad internamente, de conocimiento general, nivel interno, de junta dircetiva y accionistas y/o de provedores</v>
      </c>
      <c r="O15" s="77" t="str">
        <f>IF(OR(N15=IMPACTO!$C$3,N15=IMPACTO!$D$3),"Leve",IF(OR(N15=IMPACTO!$C$4,N15=IMPACTO!$D$4),"Menor",IF(OR(N15=IMPACTO!$C$5,N15=IMPACTO!$D$5),"Moderado",IF(OR(N15=IMPACTO!$C$6,N15=IMPACTO!$D$6),"Mayor",IF(OR(N15=IMPACTO!$C$7,N15=IMPACTO!$D$7),"Catastrófico","")))))</f>
        <v>Menor</v>
      </c>
      <c r="P15" s="54">
        <f>IF(O15="","",IF(O15="Leve",0.2,IF(O15="Menor",0.4,IF(O15="Moderado",0.6,IF(O15="Mayor",0.8,IF(O15="Catastrófico",1,))))))</f>
        <v>0.4</v>
      </c>
      <c r="Q15" s="78" t="str">
        <f>IF(OR(AND(K15="Muy Baja",O15="Leve"),AND(K15="Muy Baja",O15="Menor"),AND(K15="Baja",O15="Leve")),"Bajo",IF(OR(AND(K15="Muy baja",O15="Moderado"),AND(K15="Baja",O15="Menor"),AND(K15="Baja",O15="Moderado"),AND(K15="Media",O15="Leve"),AND(K15="Media",O15="Menor"),AND(K15="Media",O15="Moderado"),AND(K15="Alta",O15="Leve"),AND(K15="Alta",O15="Menor")),"Moderado",IF(OR(AND(K15="Muy Baja",O15="Mayor"),AND(K15="Baja",O15="Mayor"),AND(K15="Media",O15="Mayor"),AND(K15="Alta",O15="Moderado"),AND(K15="Alta",O15="Mayor"),AND(K15="Muy Alta",O15="Leve"),AND(K15="Muy Alta",O15="Menor"),AND(K15="Muy Alta",O15="Moderado"),AND(K15="Muy Alta",O15="Mayor")),"Alto",IF(OR(AND(K15="Muy Baja",O15="Catastrófico"),AND(K15="Baja",O15="Catastrófico"),AND(K15="Media",O15="Catastrófico"),AND(K15="Alta",O15="Catastrófico"),AND(K15="Muy Alta",O15="Catastrófico")),"Extremo",""))))</f>
        <v>Moderado</v>
      </c>
      <c r="R15" s="39">
        <v>2</v>
      </c>
      <c r="S15" s="40" t="s">
        <v>103</v>
      </c>
      <c r="T15" s="4" t="s">
        <v>104</v>
      </c>
      <c r="U15" s="68" t="str">
        <f t="shared" si="1"/>
        <v/>
      </c>
      <c r="V15" s="64"/>
      <c r="W15" s="64"/>
      <c r="X15" s="69" t="str">
        <f t="shared" si="2"/>
        <v/>
      </c>
      <c r="Y15" s="64"/>
      <c r="Z15" s="64"/>
      <c r="AA15" s="64"/>
      <c r="AB15" s="65" t="str">
        <f t="shared" si="3"/>
        <v/>
      </c>
      <c r="AC15" s="70" t="str">
        <f t="shared" si="4"/>
        <v/>
      </c>
      <c r="AD15" s="75" t="str">
        <f t="shared" si="5"/>
        <v/>
      </c>
      <c r="AE15" s="70" t="str">
        <f t="shared" si="6"/>
        <v/>
      </c>
      <c r="AF15" s="69" t="str">
        <f t="shared" si="7"/>
        <v/>
      </c>
      <c r="AG15" s="71" t="str">
        <f t="shared" si="8"/>
        <v/>
      </c>
      <c r="AH15" s="64"/>
      <c r="AI15" s="161"/>
      <c r="AJ15" s="64"/>
    </row>
    <row r="16" spans="1:36" ht="185.1" customHeight="1">
      <c r="A16" s="1">
        <v>2</v>
      </c>
      <c r="B16" s="216" t="s">
        <v>105</v>
      </c>
      <c r="C16" s="219" t="str">
        <f>+IFERROR(VLOOKUP(B16,'Validacion de datos'!A:B,2,0),"")</f>
        <v>Direccionar, orientar y articular los procesos organizacionales a traves de estrategias, metodologías e instrumentos que promueven y aseguran el mejoramiento continuo de la gestión y el cumplimiento de las metas institucionales.</v>
      </c>
      <c r="D16" s="7" t="s">
        <v>106</v>
      </c>
      <c r="E16" s="7"/>
      <c r="F16" s="7" t="s">
        <v>94</v>
      </c>
      <c r="G16" s="19" t="s">
        <v>107</v>
      </c>
      <c r="H16" s="40" t="s">
        <v>108</v>
      </c>
      <c r="I16" s="3" t="s">
        <v>109</v>
      </c>
      <c r="J16" s="4">
        <v>1440</v>
      </c>
      <c r="K16" s="52" t="str">
        <f t="shared" ref="K16:K112" si="9">IF(J16&lt;=0,"",IF(J16&lt;=2,"Muy Baja",IF(J16&lt;=24,"Baja",IF(J16&lt;=500,"Media",IF(J16&lt;=5000,"Alta","Muy Alta")))))</f>
        <v>Alta</v>
      </c>
      <c r="L16" s="54">
        <f t="shared" si="0"/>
        <v>0.8</v>
      </c>
      <c r="M16" s="55" t="s">
        <v>110</v>
      </c>
      <c r="N16" s="53" t="str">
        <f>IF(NOT(ISERROR(MATCH(M16,'Validacion de datos'!$H$14:$H$16,0))),'Validacion de datos'!$J$16&amp;"Por favor no seleccionar los criterios de impacto(Afectación Económica o presupuestal y Pérdida Reputacional)",M16)</f>
        <v>El riesgo afecta la imagen de la entidad con algunos usuarios de relevancia frente al logro de los objetivos</v>
      </c>
      <c r="O16" s="52" t="str">
        <f>IF(OR(N16=IMPACTO!$C$3,N16=IMPACTO!$D$3),"Leve",IF(OR(N16=IMPACTO!$C$4,N16=IMPACTO!$D$4),"Menor",IF(OR(N16=IMPACTO!$C$5,N16=IMPACTO!$D$5),"Moderado",IF(OR(N16=IMPACTO!$C$6,N16=IMPACTO!$D$6),"Mayor",IF(OR(N16=IMPACTO!$C$7,N16=IMPACTO!$D$7),"Catastrófico","")))))</f>
        <v>Moderado</v>
      </c>
      <c r="P16" s="54">
        <f t="shared" ref="P16:P112" si="10">IF(O16="","",IF(O16="Leve",0.2,IF(O16="Menor",0.4,IF(O16="Moderado",0.6,IF(O16="Mayor",0.8,IF(O16="Catastrófico",1,))))))</f>
        <v>0.6</v>
      </c>
      <c r="Q16" s="78" t="str">
        <f t="shared" ref="Q16:Q25" si="11">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Alto</v>
      </c>
      <c r="R16" s="39">
        <v>1</v>
      </c>
      <c r="S16" s="40" t="s">
        <v>111</v>
      </c>
      <c r="T16" s="4" t="s">
        <v>112</v>
      </c>
      <c r="U16" s="68" t="str">
        <f t="shared" si="1"/>
        <v/>
      </c>
      <c r="V16" s="64"/>
      <c r="W16" s="64"/>
      <c r="X16" s="69" t="str">
        <f t="shared" ref="X16:X112" si="12">IF(AND(V16="Preventivo",W16="Automática"),"50%",IF(AND(V16="Preventivo",W16="Manual"),"40%",IF(AND(V16="Detectivo",W16="Automática"),"40%",IF(AND(V16="Detectivo",W16="Manual"),"30%",IF(AND(V16="Correctivo",W16="Automática"),"35%",IF(AND(V16="Correctivo",W16="Manual"),"25%",""))))))</f>
        <v/>
      </c>
      <c r="Y16" s="64"/>
      <c r="Z16" s="64"/>
      <c r="AA16" s="64"/>
      <c r="AB16" s="65" t="str">
        <f t="shared" ref="AB16:AB112" si="13">IFERROR(IF(U16="Probabilidad",(L16-(+L16*X16)),IF(U16="Impacto",L16,"")),"")</f>
        <v/>
      </c>
      <c r="AC16" s="70" t="str">
        <f t="shared" si="4"/>
        <v/>
      </c>
      <c r="AD16" s="75" t="str">
        <f t="shared" ref="AD16:AD112" si="14">+AB16</f>
        <v/>
      </c>
      <c r="AE16" s="70" t="str">
        <f t="shared" si="6"/>
        <v/>
      </c>
      <c r="AF16" s="69" t="str">
        <f t="shared" ref="AF16:AF112" si="15">IFERROR(IF(U16="Impacto",(P16-(+P16*X16)),IF(U16="Probabilidad",P16,"")),"")</f>
        <v/>
      </c>
      <c r="AG16" s="71" t="str">
        <f t="shared" ref="AG16:AG112" si="16">IFERROR(IF(OR(AND(AC16="Muy Baja",AE16="Leve"),AND(AC16="Muy Baja",AE16="Menor"),AND(AC16="Baja",AE16="Leve")),"Bajo",IF(OR(AND(AC16="Muy baja",AE16="Moderado"),AND(AC16="Baja",AE16="Menor"),AND(AC16="Baja",AE16="Moderado"),AND(AC16="Media",AE16="Leve"),AND(AC16="Media",AE16="Menor"),AND(AC16="Media",AE16="Moderado"),AND(AC16="Alta",AE16="Leve"),AND(AC16="Alta",AE16="Menor")),"Moderado",IF(OR(AND(AC16="Muy Baja",AE16="Mayor"),AND(AC16="Baja",AE16="Mayor"),AND(AC16="Media",AE16="Mayor"),AND(AC16="Alta",AE16="Moderado"),AND(AC16="Alta",AE16="Mayor"),AND(AC16="Muy Alta",AE16="Leve"),AND(AC16="Muy Alta",AE16="Menor"),AND(AC16="Muy Alta",AE16="Moderado"),AND(AC16="Muy Alta",AE16="Mayor")),"Alto",IF(OR(AND(AC16="Muy Baja",AE16="Catastrófico"),AND(AC16="Baja",AE16="Catastrófico"),AND(AC16="Media",AE16="Catastrófico"),AND(AC16="Alta",AE16="Catastrófico"),AND(AC16="Muy Alta",AE16="Catastrófico")),"Extremo","")))),"")</f>
        <v/>
      </c>
      <c r="AH16" s="64"/>
      <c r="AI16" s="161"/>
      <c r="AJ16" s="64"/>
    </row>
    <row r="17" spans="1:36" ht="112.5" customHeight="1">
      <c r="A17" s="216">
        <v>3</v>
      </c>
      <c r="B17" s="217"/>
      <c r="C17" s="220"/>
      <c r="D17" s="225" t="s">
        <v>113</v>
      </c>
      <c r="E17" s="225"/>
      <c r="F17" s="225" t="s">
        <v>94</v>
      </c>
      <c r="G17" s="237" t="s">
        <v>114</v>
      </c>
      <c r="H17" s="233" t="s">
        <v>115</v>
      </c>
      <c r="I17" s="2" t="s">
        <v>116</v>
      </c>
      <c r="J17" s="4">
        <v>243</v>
      </c>
      <c r="K17" s="52" t="str">
        <f t="shared" si="9"/>
        <v>Media</v>
      </c>
      <c r="L17" s="54">
        <f t="shared" si="0"/>
        <v>0.6</v>
      </c>
      <c r="M17" s="55" t="s">
        <v>117</v>
      </c>
      <c r="N17" s="53" t="str">
        <f>IF(NOT(ISERROR(MATCH(M17,'Validacion de datos'!$H$14:$H$16,0))),'Validacion de datos'!$J$16&amp;"Por favor no seleccionar los criterios de impacto(Afectación Económica o presupuestal y Pérdida Reputacional)",M17)</f>
        <v>El riesgo afecta la imagen de de la entidad con efecto publicitario sostenido a nivel de sector administrativo, nivel departamental o municipal</v>
      </c>
      <c r="O17" s="52" t="str">
        <f>IF(OR(N17=IMPACTO!$C$3,N17=IMPACTO!$D$3),"Leve",IF(OR(N17=IMPACTO!$C$4,N17=IMPACTO!$D$4),"Menor",IF(OR(N17=IMPACTO!$C$5,N17=IMPACTO!$D$5),"Moderado",IF(OR(N17=IMPACTO!$C$6,N17=IMPACTO!$D$6),"Mayor",IF(OR(N17=IMPACTO!$C$7,N17=IMPACTO!$D$7),"Catastrófico","")))))</f>
        <v>Mayor</v>
      </c>
      <c r="P17" s="54">
        <f t="shared" si="10"/>
        <v>0.8</v>
      </c>
      <c r="Q17" s="78" t="str">
        <f t="shared" si="11"/>
        <v>Alto</v>
      </c>
      <c r="R17" s="39">
        <v>1</v>
      </c>
      <c r="S17" s="40" t="s">
        <v>118</v>
      </c>
      <c r="T17" s="4" t="s">
        <v>119</v>
      </c>
      <c r="U17" s="68" t="str">
        <f t="shared" si="1"/>
        <v/>
      </c>
      <c r="V17" s="64"/>
      <c r="W17" s="64"/>
      <c r="X17" s="69" t="str">
        <f t="shared" si="12"/>
        <v/>
      </c>
      <c r="Y17" s="64"/>
      <c r="Z17" s="64"/>
      <c r="AA17" s="64"/>
      <c r="AB17" s="65" t="str">
        <f t="shared" si="13"/>
        <v/>
      </c>
      <c r="AC17" s="70" t="str">
        <f t="shared" si="4"/>
        <v/>
      </c>
      <c r="AD17" s="75" t="str">
        <f t="shared" si="14"/>
        <v/>
      </c>
      <c r="AE17" s="70" t="str">
        <f t="shared" si="6"/>
        <v/>
      </c>
      <c r="AF17" s="69" t="str">
        <f t="shared" si="15"/>
        <v/>
      </c>
      <c r="AG17" s="71" t="str">
        <f t="shared" si="16"/>
        <v/>
      </c>
      <c r="AH17" s="64"/>
      <c r="AI17" s="161"/>
      <c r="AJ17" s="64"/>
    </row>
    <row r="18" spans="1:36" ht="85.5" customHeight="1">
      <c r="A18" s="218"/>
      <c r="B18" s="218"/>
      <c r="C18" s="221"/>
      <c r="D18" s="227"/>
      <c r="E18" s="227"/>
      <c r="F18" s="227"/>
      <c r="G18" s="238"/>
      <c r="H18" s="235"/>
      <c r="I18" s="2" t="s">
        <v>120</v>
      </c>
      <c r="J18" s="4">
        <v>243</v>
      </c>
      <c r="K18" s="52" t="str">
        <f t="shared" si="9"/>
        <v>Media</v>
      </c>
      <c r="L18" s="54">
        <f t="shared" si="0"/>
        <v>0.6</v>
      </c>
      <c r="M18" s="55" t="s">
        <v>110</v>
      </c>
      <c r="N18" s="53" t="str">
        <f>IF(NOT(ISERROR(MATCH(M18,'Validacion de datos'!$H$14:$H$16,0))),'Validacion de datos'!$J$16&amp;"Por favor no seleccionar los criterios de impacto(Afectación Económica o presupuestal y Pérdida Reputacional)",M18)</f>
        <v>El riesgo afecta la imagen de la entidad con algunos usuarios de relevancia frente al logro de los objetivos</v>
      </c>
      <c r="O18" s="52" t="str">
        <f>IF(OR(N18=IMPACTO!$C$3,N18=IMPACTO!$D$3),"Leve",IF(OR(N18=IMPACTO!$C$4,N18=IMPACTO!$D$4),"Menor",IF(OR(N18=IMPACTO!$C$5,N18=IMPACTO!$D$5),"Moderado",IF(OR(N18=IMPACTO!$C$6,N18=IMPACTO!$D$6),"Mayor",IF(OR(N18=IMPACTO!$C$7,N18=IMPACTO!$D$7),"Catastrófico","")))))</f>
        <v>Moderado</v>
      </c>
      <c r="P18" s="54">
        <f t="shared" si="10"/>
        <v>0.6</v>
      </c>
      <c r="Q18" s="78" t="str">
        <f t="shared" si="11"/>
        <v>Moderado</v>
      </c>
      <c r="R18" s="39">
        <v>2</v>
      </c>
      <c r="S18" s="40" t="s">
        <v>121</v>
      </c>
      <c r="T18" s="4" t="s">
        <v>122</v>
      </c>
      <c r="U18" s="68" t="str">
        <f t="shared" si="1"/>
        <v/>
      </c>
      <c r="V18" s="64"/>
      <c r="W18" s="64"/>
      <c r="X18" s="69" t="str">
        <f t="shared" si="12"/>
        <v/>
      </c>
      <c r="Y18" s="64"/>
      <c r="Z18" s="64"/>
      <c r="AA18" s="64"/>
      <c r="AB18" s="65" t="str">
        <f t="shared" si="13"/>
        <v/>
      </c>
      <c r="AC18" s="70" t="str">
        <f t="shared" si="4"/>
        <v/>
      </c>
      <c r="AD18" s="75" t="str">
        <f t="shared" si="14"/>
        <v/>
      </c>
      <c r="AE18" s="70" t="str">
        <f t="shared" si="6"/>
        <v/>
      </c>
      <c r="AF18" s="69" t="str">
        <f t="shared" si="15"/>
        <v/>
      </c>
      <c r="AG18" s="71" t="str">
        <f t="shared" si="16"/>
        <v/>
      </c>
      <c r="AH18" s="64"/>
      <c r="AI18" s="161"/>
      <c r="AJ18" s="64"/>
    </row>
    <row r="19" spans="1:36" ht="134.1" customHeight="1">
      <c r="A19" s="1">
        <v>4</v>
      </c>
      <c r="B19" s="216" t="s">
        <v>123</v>
      </c>
      <c r="C19" s="219" t="str">
        <f>+IFERROR(VLOOKUP(B19,'Validacion de datos'!A:B,2,0),"")</f>
        <v>Liderar y gestionar la estrategia de comunicaciones y relaciones públicas de VIVA, con sus públicos de interés,  para reposicionar a la entidad como la empresa de vivienda de los antioqueños, contribuyendo a mejorar la satisfacción del ciudadano con una adecuada atención, a través de información efectiva con alianzas estratégicas, soportadas en la empatía, el rigor técnico y las capacidades individuales y colectivas.</v>
      </c>
      <c r="D19" s="7" t="s">
        <v>106</v>
      </c>
      <c r="E19" s="7"/>
      <c r="F19" s="7" t="s">
        <v>94</v>
      </c>
      <c r="G19" s="19" t="s">
        <v>124</v>
      </c>
      <c r="H19" s="40" t="s">
        <v>125</v>
      </c>
      <c r="I19" s="2" t="s">
        <v>126</v>
      </c>
      <c r="J19" s="4">
        <v>365</v>
      </c>
      <c r="K19" s="52" t="str">
        <f t="shared" si="9"/>
        <v>Media</v>
      </c>
      <c r="L19" s="54">
        <f t="shared" si="0"/>
        <v>0.6</v>
      </c>
      <c r="M19" s="55" t="s">
        <v>117</v>
      </c>
      <c r="N19" s="53" t="str">
        <f>IF(NOT(ISERROR(MATCH(M19,'Validacion de datos'!$H$14:$H$16,0))),'Validacion de datos'!$J$16&amp;"Por favor no seleccionar los criterios de impacto(Afectación Económica o presupuestal y Pérdida Reputacional)",M19)</f>
        <v>El riesgo afecta la imagen de de la entidad con efecto publicitario sostenido a nivel de sector administrativo, nivel departamental o municipal</v>
      </c>
      <c r="O19" s="52" t="str">
        <f>IF(OR(N19=IMPACTO!$C$3,N19=IMPACTO!$D$3),"Leve",IF(OR(N19=IMPACTO!$C$4,N19=IMPACTO!$D$4),"Menor",IF(OR(N19=IMPACTO!$C$5,N19=IMPACTO!$D$5),"Moderado",IF(OR(N19=IMPACTO!$C$6,N19=IMPACTO!$D$6),"Mayor",IF(OR(N19=IMPACTO!$C$7,N19=IMPACTO!$D$7),"Catastrófico","")))))</f>
        <v>Mayor</v>
      </c>
      <c r="P19" s="54">
        <f t="shared" si="10"/>
        <v>0.8</v>
      </c>
      <c r="Q19" s="78" t="str">
        <f t="shared" si="11"/>
        <v>Alto</v>
      </c>
      <c r="R19" s="39">
        <v>1</v>
      </c>
      <c r="S19" s="40" t="s">
        <v>127</v>
      </c>
      <c r="T19" s="4" t="s">
        <v>128</v>
      </c>
      <c r="U19" s="174" t="str">
        <f t="shared" si="1"/>
        <v/>
      </c>
      <c r="V19" s="64"/>
      <c r="W19" s="64"/>
      <c r="X19" s="69" t="str">
        <f t="shared" si="12"/>
        <v/>
      </c>
      <c r="Y19" s="64"/>
      <c r="Z19" s="64"/>
      <c r="AA19" s="64"/>
      <c r="AB19" s="65" t="str">
        <f t="shared" si="13"/>
        <v/>
      </c>
      <c r="AC19" s="70" t="str">
        <f t="shared" si="4"/>
        <v/>
      </c>
      <c r="AD19" s="75" t="str">
        <f t="shared" si="14"/>
        <v/>
      </c>
      <c r="AE19" s="70" t="str">
        <f t="shared" si="6"/>
        <v/>
      </c>
      <c r="AF19" s="69" t="str">
        <f t="shared" si="15"/>
        <v/>
      </c>
      <c r="AG19" s="71" t="str">
        <f t="shared" si="16"/>
        <v/>
      </c>
      <c r="AH19" s="64"/>
      <c r="AI19" s="161"/>
      <c r="AJ19" s="64"/>
    </row>
    <row r="20" spans="1:36" ht="134.1" customHeight="1">
      <c r="A20" s="1">
        <v>5</v>
      </c>
      <c r="B20" s="217"/>
      <c r="C20" s="220"/>
      <c r="D20" s="7" t="s">
        <v>106</v>
      </c>
      <c r="E20" s="7"/>
      <c r="F20" s="7" t="s">
        <v>129</v>
      </c>
      <c r="G20" s="19" t="s">
        <v>130</v>
      </c>
      <c r="H20" s="81" t="s">
        <v>131</v>
      </c>
      <c r="I20" s="6" t="s">
        <v>132</v>
      </c>
      <c r="J20" s="4">
        <v>1200</v>
      </c>
      <c r="K20" s="52" t="str">
        <f t="shared" si="9"/>
        <v>Alta</v>
      </c>
      <c r="L20" s="54">
        <f t="shared" si="0"/>
        <v>0.8</v>
      </c>
      <c r="M20" s="55" t="s">
        <v>117</v>
      </c>
      <c r="N20" s="53" t="str">
        <f>IF(NOT(ISERROR(MATCH(M20,'Validacion de datos'!$H$14:$H$16,0))),'Validacion de datos'!$J$16&amp;"Por favor no seleccionar los criterios de impacto(Afectación Económica o presupuestal y Pérdida Reputacional)",M20)</f>
        <v>El riesgo afecta la imagen de de la entidad con efecto publicitario sostenido a nivel de sector administrativo, nivel departamental o municipal</v>
      </c>
      <c r="O20" s="52" t="str">
        <f>IF(OR(N20=IMPACTO!$C$3,N20=IMPACTO!$D$3),"Leve",IF(OR(N20=IMPACTO!$C$4,N20=IMPACTO!$D$4),"Menor",IF(OR(N20=IMPACTO!$C$5,N20=IMPACTO!$D$5),"Moderado",IF(OR(N20=IMPACTO!$C$6,N20=IMPACTO!$D$6),"Mayor",IF(OR(N20=IMPACTO!$C$7,N20=IMPACTO!$D$7),"Catastrófico","")))))</f>
        <v>Mayor</v>
      </c>
      <c r="P20" s="54">
        <f t="shared" si="10"/>
        <v>0.8</v>
      </c>
      <c r="Q20" s="78" t="str">
        <f t="shared" si="11"/>
        <v>Alto</v>
      </c>
      <c r="R20" s="39">
        <v>1</v>
      </c>
      <c r="S20" s="40" t="s">
        <v>133</v>
      </c>
      <c r="T20" s="4" t="s">
        <v>134</v>
      </c>
      <c r="U20" s="174" t="str">
        <f>IF(OR(V20="Preventivo",V20="Detectivo"),"Probabilidad",IF(V20="Correctivo","Impacto",""))</f>
        <v/>
      </c>
      <c r="V20" s="64"/>
      <c r="W20" s="64"/>
      <c r="X20" s="69" t="str">
        <f t="shared" si="12"/>
        <v/>
      </c>
      <c r="Y20" s="64"/>
      <c r="Z20" s="64"/>
      <c r="AA20" s="64"/>
      <c r="AB20" s="65" t="str">
        <f t="shared" si="13"/>
        <v/>
      </c>
      <c r="AC20" s="70" t="str">
        <f t="shared" si="4"/>
        <v/>
      </c>
      <c r="AD20" s="75" t="str">
        <f t="shared" si="14"/>
        <v/>
      </c>
      <c r="AE20" s="70" t="str">
        <f t="shared" si="6"/>
        <v/>
      </c>
      <c r="AF20" s="69" t="str">
        <f t="shared" si="15"/>
        <v/>
      </c>
      <c r="AG20" s="71" t="str">
        <f t="shared" si="16"/>
        <v/>
      </c>
      <c r="AH20" s="64"/>
      <c r="AI20" s="162"/>
      <c r="AJ20" s="64"/>
    </row>
    <row r="21" spans="1:36" ht="134.1" customHeight="1">
      <c r="A21" s="1">
        <v>6</v>
      </c>
      <c r="B21" s="218"/>
      <c r="C21" s="221"/>
      <c r="D21" s="7" t="s">
        <v>135</v>
      </c>
      <c r="E21" s="7"/>
      <c r="F21" s="7" t="s">
        <v>94</v>
      </c>
      <c r="G21" s="19" t="s">
        <v>136</v>
      </c>
      <c r="H21" s="81" t="s">
        <v>137</v>
      </c>
      <c r="I21" s="6" t="s">
        <v>138</v>
      </c>
      <c r="J21" s="4">
        <v>365</v>
      </c>
      <c r="K21" s="52" t="str">
        <f t="shared" si="9"/>
        <v>Media</v>
      </c>
      <c r="L21" s="54">
        <f t="shared" si="0"/>
        <v>0.6</v>
      </c>
      <c r="M21" s="55" t="s">
        <v>139</v>
      </c>
      <c r="N21" s="53" t="str">
        <f>IF(NOT(ISERROR(MATCH(M21,'Validacion de datos'!$H$14:$H$16,0))),'Validacion de datos'!$J$16&amp;"Por favor no seleccionar los criterios de impacto(Afectación Económica o presupuestal y Pérdida Reputacional)",M21)</f>
        <v xml:space="preserve">Entre 100 y 500 SMLMV </v>
      </c>
      <c r="O21" s="52" t="str">
        <f>IF(OR(N21=IMPACTO!$C$3,N21=IMPACTO!$D$3),"Leve",IF(OR(N21=IMPACTO!$C$4,N21=IMPACTO!$D$4),"Menor",IF(OR(N21=IMPACTO!$C$5,N21=IMPACTO!$D$5),"Moderado",IF(OR(N21=IMPACTO!$C$6,N21=IMPACTO!$D$6),"Mayor",IF(OR(N21=IMPACTO!$C$7,N21=IMPACTO!$D$7),"Catastrófico","")))))</f>
        <v>Mayor</v>
      </c>
      <c r="P21" s="54">
        <f t="shared" si="10"/>
        <v>0.8</v>
      </c>
      <c r="Q21" s="78" t="str">
        <f t="shared" si="11"/>
        <v>Alto</v>
      </c>
      <c r="R21" s="39">
        <v>1</v>
      </c>
      <c r="S21" s="40" t="s">
        <v>140</v>
      </c>
      <c r="T21" s="4" t="s">
        <v>134</v>
      </c>
      <c r="U21" s="174" t="str">
        <f t="shared" si="1"/>
        <v/>
      </c>
      <c r="V21" s="64"/>
      <c r="W21" s="64"/>
      <c r="X21" s="69" t="str">
        <f t="shared" si="12"/>
        <v/>
      </c>
      <c r="Y21" s="64"/>
      <c r="Z21" s="64"/>
      <c r="AA21" s="64"/>
      <c r="AB21" s="65" t="str">
        <f t="shared" si="13"/>
        <v/>
      </c>
      <c r="AC21" s="70" t="str">
        <f t="shared" si="4"/>
        <v/>
      </c>
      <c r="AD21" s="75" t="str">
        <f t="shared" si="14"/>
        <v/>
      </c>
      <c r="AE21" s="70" t="str">
        <f t="shared" si="6"/>
        <v/>
      </c>
      <c r="AF21" s="69" t="str">
        <f t="shared" si="15"/>
        <v/>
      </c>
      <c r="AG21" s="71" t="str">
        <f t="shared" si="16"/>
        <v/>
      </c>
      <c r="AH21" s="64"/>
      <c r="AI21" s="161"/>
      <c r="AJ21" s="64"/>
    </row>
    <row r="22" spans="1:36" ht="111.95" customHeight="1">
      <c r="A22" s="1">
        <v>7</v>
      </c>
      <c r="B22" s="216" t="s">
        <v>141</v>
      </c>
      <c r="C22" s="219" t="str">
        <f>+IFERROR(VLOOKUP(B22,'Validacion de datos'!A:B,2,0),"")</f>
        <v>Planear, organizar, ejecutar y controlar las acciones que promuevan la gestión del talento humano en términos de la arquitectura organizacional, selección de personal, su capacitación, evaluación, reconocimiento de obligaciones salariales y prestacionales. Igualmente, promover y  mantener las condiciones de cultura organizacional, bienestar y calidad de vida,  logrando el cumplimiento de las estrategias y metas definidas por la empresa, asegurando un buen clima laboral  y  condiciones seguras de trabajo.  </v>
      </c>
      <c r="D22" s="7"/>
      <c r="E22" s="7" t="s">
        <v>142</v>
      </c>
      <c r="F22" s="7" t="s">
        <v>94</v>
      </c>
      <c r="G22" s="19" t="s">
        <v>143</v>
      </c>
      <c r="H22" s="81" t="s">
        <v>144</v>
      </c>
      <c r="I22" s="6" t="s">
        <v>145</v>
      </c>
      <c r="J22" s="4">
        <v>243</v>
      </c>
      <c r="K22" s="52" t="str">
        <f t="shared" si="9"/>
        <v>Media</v>
      </c>
      <c r="L22" s="54">
        <f t="shared" si="0"/>
        <v>0.6</v>
      </c>
      <c r="M22" s="55" t="s">
        <v>98</v>
      </c>
      <c r="N22" s="53" t="str">
        <f>IF(NOT(ISERROR(MATCH(M22,'Validacion de datos'!$H$14:$H$16,0))),'Validacion de datos'!$J$16&amp;"Por favor no seleccionar los criterios de impacto(Afectación Económica o presupuestal y Pérdida Reputacional)",M22)</f>
        <v>El riesgo afecta la imagen de alguna área de la organización</v>
      </c>
      <c r="O22" s="52" t="str">
        <f>IF(OR(N22=IMPACTO!$C$3,N22=IMPACTO!$D$3),"Leve",IF(OR(N22=IMPACTO!$C$4,N22=IMPACTO!$D$4),"Menor",IF(OR(N22=IMPACTO!$C$5,N22=IMPACTO!$D$5),"Moderado",IF(OR(N22=IMPACTO!$C$6,N22=IMPACTO!$D$6),"Mayor",IF(OR(N22=IMPACTO!$C$7,N22=IMPACTO!$D$7),"Catastrófico","")))))</f>
        <v>Leve</v>
      </c>
      <c r="P22" s="54">
        <f t="shared" si="10"/>
        <v>0.2</v>
      </c>
      <c r="Q22" s="52" t="str">
        <f t="shared" si="11"/>
        <v>Moderado</v>
      </c>
      <c r="R22" s="1">
        <v>1</v>
      </c>
      <c r="S22" s="40" t="s">
        <v>146</v>
      </c>
      <c r="T22" s="4" t="s">
        <v>147</v>
      </c>
      <c r="U22" s="174" t="str">
        <f t="shared" si="1"/>
        <v/>
      </c>
      <c r="V22" s="183"/>
      <c r="W22" s="183"/>
      <c r="X22" s="54" t="str">
        <f t="shared" si="12"/>
        <v/>
      </c>
      <c r="Y22" s="183"/>
      <c r="Z22" s="183"/>
      <c r="AA22" s="183"/>
      <c r="AB22" s="184" t="str">
        <f t="shared" si="13"/>
        <v/>
      </c>
      <c r="AC22" s="70" t="str">
        <f t="shared" si="4"/>
        <v/>
      </c>
      <c r="AD22" s="88" t="str">
        <f t="shared" si="14"/>
        <v/>
      </c>
      <c r="AE22" s="70" t="str">
        <f t="shared" si="6"/>
        <v/>
      </c>
      <c r="AF22" s="54" t="str">
        <f t="shared" si="15"/>
        <v/>
      </c>
      <c r="AG22" s="70" t="str">
        <f t="shared" si="16"/>
        <v/>
      </c>
      <c r="AH22" s="183"/>
      <c r="AI22" s="185"/>
      <c r="AJ22" s="183"/>
    </row>
    <row r="23" spans="1:36" ht="138.94999999999999" customHeight="1">
      <c r="A23" s="1">
        <v>8</v>
      </c>
      <c r="B23" s="217"/>
      <c r="C23" s="220"/>
      <c r="D23" s="7" t="s">
        <v>106</v>
      </c>
      <c r="E23" s="7"/>
      <c r="F23" s="7" t="s">
        <v>129</v>
      </c>
      <c r="G23" s="19" t="s">
        <v>148</v>
      </c>
      <c r="H23" s="81" t="s">
        <v>149</v>
      </c>
      <c r="I23" s="6" t="s">
        <v>150</v>
      </c>
      <c r="J23" s="4">
        <v>1</v>
      </c>
      <c r="K23" s="52" t="str">
        <f t="shared" si="9"/>
        <v>Muy Baja</v>
      </c>
      <c r="L23" s="54">
        <f t="shared" si="0"/>
        <v>0.2</v>
      </c>
      <c r="M23" s="55" t="s">
        <v>98</v>
      </c>
      <c r="N23" s="53" t="str">
        <f>IF(NOT(ISERROR(MATCH(M23,'Validacion de datos'!$H$14:$H$16,0))),'Validacion de datos'!$J$16&amp;"Por favor no seleccionar los criterios de impacto(Afectación Económica o presupuestal y Pérdida Reputacional)",M23)</f>
        <v>El riesgo afecta la imagen de alguna área de la organización</v>
      </c>
      <c r="O23" s="52" t="str">
        <f>IF(OR(N23=IMPACTO!$C$3,N23=IMPACTO!$D$3),"Leve",IF(OR(N23=IMPACTO!$C$4,N23=IMPACTO!$D$4),"Menor",IF(OR(N23=IMPACTO!$C$5,N23=IMPACTO!$D$5),"Moderado",IF(OR(N23=IMPACTO!$C$6,N23=IMPACTO!$D$6),"Mayor",IF(OR(N23=IMPACTO!$C$7,N23=IMPACTO!$D$7),"Catastrófico","")))))</f>
        <v>Leve</v>
      </c>
      <c r="P23" s="54">
        <f t="shared" si="10"/>
        <v>0.2</v>
      </c>
      <c r="Q23" s="52" t="str">
        <f t="shared" si="11"/>
        <v>Bajo</v>
      </c>
      <c r="R23" s="1">
        <v>1</v>
      </c>
      <c r="S23" s="40" t="s">
        <v>151</v>
      </c>
      <c r="T23" s="4" t="s">
        <v>147</v>
      </c>
      <c r="U23" s="174" t="str">
        <f t="shared" si="1"/>
        <v/>
      </c>
      <c r="V23" s="183"/>
      <c r="W23" s="183"/>
      <c r="X23" s="54" t="str">
        <f t="shared" si="12"/>
        <v/>
      </c>
      <c r="Y23" s="183"/>
      <c r="Z23" s="183"/>
      <c r="AA23" s="183"/>
      <c r="AB23" s="184" t="str">
        <f t="shared" si="13"/>
        <v/>
      </c>
      <c r="AC23" s="70" t="str">
        <f t="shared" si="4"/>
        <v/>
      </c>
      <c r="AD23" s="88" t="str">
        <f t="shared" si="14"/>
        <v/>
      </c>
      <c r="AE23" s="70" t="str">
        <f t="shared" si="6"/>
        <v/>
      </c>
      <c r="AF23" s="54" t="str">
        <f t="shared" si="15"/>
        <v/>
      </c>
      <c r="AG23" s="70" t="str">
        <f t="shared" si="16"/>
        <v/>
      </c>
      <c r="AH23" s="183"/>
      <c r="AI23" s="185"/>
      <c r="AJ23" s="183"/>
    </row>
    <row r="24" spans="1:36" ht="138.94999999999999" customHeight="1">
      <c r="A24" s="1">
        <v>9</v>
      </c>
      <c r="B24" s="217"/>
      <c r="C24" s="220"/>
      <c r="D24" s="7" t="s">
        <v>106</v>
      </c>
      <c r="E24" s="7"/>
      <c r="F24" s="7" t="s">
        <v>129</v>
      </c>
      <c r="G24" s="19" t="s">
        <v>152</v>
      </c>
      <c r="H24" s="81" t="s">
        <v>153</v>
      </c>
      <c r="I24" s="6" t="s">
        <v>154</v>
      </c>
      <c r="J24" s="4">
        <v>99</v>
      </c>
      <c r="K24" s="52" t="str">
        <f t="shared" si="9"/>
        <v>Media</v>
      </c>
      <c r="L24" s="54">
        <f t="shared" si="0"/>
        <v>0.6</v>
      </c>
      <c r="M24" s="55" t="s">
        <v>110</v>
      </c>
      <c r="N24" s="53" t="str">
        <f>IF(NOT(ISERROR(MATCH(M24,'Validacion de datos'!$H$14:$H$16,0))),'Validacion de datos'!$J$16&amp;"Por favor no seleccionar los criterios de impacto(Afectación Económica o presupuestal y Pérdida Reputacional)",M24)</f>
        <v>El riesgo afecta la imagen de la entidad con algunos usuarios de relevancia frente al logro de los objetivos</v>
      </c>
      <c r="O24" s="52" t="str">
        <f>IF(OR(N24=IMPACTO!$C$3,N24=IMPACTO!$D$3),"Leve",IF(OR(N24=IMPACTO!$C$4,N24=IMPACTO!$D$4),"Menor",IF(OR(N24=IMPACTO!$C$5,N24=IMPACTO!$D$5),"Moderado",IF(OR(N24=IMPACTO!$C$6,N24=IMPACTO!$D$6),"Mayor",IF(OR(N24=IMPACTO!$C$7,N24=IMPACTO!$D$7),"Catastrófico","")))))</f>
        <v>Moderado</v>
      </c>
      <c r="P24" s="54">
        <f t="shared" si="10"/>
        <v>0.6</v>
      </c>
      <c r="Q24" s="52" t="str">
        <f t="shared" si="11"/>
        <v>Moderado</v>
      </c>
      <c r="R24" s="1">
        <v>1</v>
      </c>
      <c r="S24" s="40" t="s">
        <v>155</v>
      </c>
      <c r="T24" s="4" t="s">
        <v>147</v>
      </c>
      <c r="U24" s="174" t="str">
        <f t="shared" si="1"/>
        <v/>
      </c>
      <c r="V24" s="183"/>
      <c r="W24" s="183"/>
      <c r="X24" s="54" t="str">
        <f t="shared" si="12"/>
        <v/>
      </c>
      <c r="Y24" s="183"/>
      <c r="Z24" s="183"/>
      <c r="AA24" s="183"/>
      <c r="AB24" s="184" t="str">
        <f t="shared" si="13"/>
        <v/>
      </c>
      <c r="AC24" s="70" t="str">
        <f t="shared" si="4"/>
        <v/>
      </c>
      <c r="AD24" s="88" t="str">
        <f t="shared" si="14"/>
        <v/>
      </c>
      <c r="AE24" s="70" t="str">
        <f t="shared" si="6"/>
        <v/>
      </c>
      <c r="AF24" s="54" t="str">
        <f t="shared" si="15"/>
        <v/>
      </c>
      <c r="AG24" s="70" t="str">
        <f t="shared" si="16"/>
        <v/>
      </c>
      <c r="AH24" s="183"/>
      <c r="AI24" s="185"/>
      <c r="AJ24" s="183"/>
    </row>
    <row r="25" spans="1:36" ht="120.95" customHeight="1">
      <c r="A25" s="1">
        <v>10</v>
      </c>
      <c r="B25" s="218"/>
      <c r="C25" s="221"/>
      <c r="D25" s="7"/>
      <c r="E25" s="7" t="s">
        <v>156</v>
      </c>
      <c r="F25" s="7" t="s">
        <v>129</v>
      </c>
      <c r="G25" s="19" t="s">
        <v>157</v>
      </c>
      <c r="H25" s="81" t="s">
        <v>158</v>
      </c>
      <c r="I25" s="6" t="s">
        <v>159</v>
      </c>
      <c r="J25" s="4">
        <v>48</v>
      </c>
      <c r="K25" s="52" t="str">
        <f t="shared" si="9"/>
        <v>Media</v>
      </c>
      <c r="L25" s="54">
        <f t="shared" si="0"/>
        <v>0.6</v>
      </c>
      <c r="M25" s="55" t="s">
        <v>110</v>
      </c>
      <c r="N25" s="53" t="str">
        <f>IF(NOT(ISERROR(MATCH(M25,'Validacion de datos'!$H$14:$H$16,0))),'Validacion de datos'!$J$16&amp;"Por favor no seleccionar los criterios de impacto(Afectación Económica o presupuestal y Pérdida Reputacional)",M25)</f>
        <v>El riesgo afecta la imagen de la entidad con algunos usuarios de relevancia frente al logro de los objetivos</v>
      </c>
      <c r="O25" s="52" t="str">
        <f>IF(OR(N25=IMPACTO!$C$3,N25=IMPACTO!$D$3),"Leve",IF(OR(N25=IMPACTO!$C$4,N25=IMPACTO!$D$4),"Menor",IF(OR(N25=IMPACTO!$C$5,N25=IMPACTO!$D$5),"Moderado",IF(OR(N25=IMPACTO!$C$6,N25=IMPACTO!$D$6),"Mayor",IF(OR(N25=IMPACTO!$C$7,N25=IMPACTO!$D$7),"Catastrófico","")))))</f>
        <v>Moderado</v>
      </c>
      <c r="P25" s="54">
        <f t="shared" si="10"/>
        <v>0.6</v>
      </c>
      <c r="Q25" s="52" t="str">
        <f t="shared" si="11"/>
        <v>Moderado</v>
      </c>
      <c r="R25" s="1">
        <v>1</v>
      </c>
      <c r="S25" s="40" t="s">
        <v>160</v>
      </c>
      <c r="T25" s="2" t="s">
        <v>147</v>
      </c>
      <c r="U25" s="174" t="str">
        <f t="shared" si="1"/>
        <v/>
      </c>
      <c r="V25" s="183"/>
      <c r="W25" s="183"/>
      <c r="X25" s="54" t="str">
        <f t="shared" si="12"/>
        <v/>
      </c>
      <c r="Y25" s="183"/>
      <c r="Z25" s="183"/>
      <c r="AA25" s="183"/>
      <c r="AB25" s="184" t="str">
        <f t="shared" si="13"/>
        <v/>
      </c>
      <c r="AC25" s="70" t="str">
        <f t="shared" si="4"/>
        <v/>
      </c>
      <c r="AD25" s="54" t="str">
        <f t="shared" si="14"/>
        <v/>
      </c>
      <c r="AE25" s="70" t="str">
        <f t="shared" si="6"/>
        <v/>
      </c>
      <c r="AF25" s="54" t="str">
        <f t="shared" si="15"/>
        <v/>
      </c>
      <c r="AG25" s="70" t="str">
        <f t="shared" si="16"/>
        <v/>
      </c>
      <c r="AH25" s="183"/>
      <c r="AI25" s="185"/>
      <c r="AJ25" s="183"/>
    </row>
    <row r="26" spans="1:36" ht="164.45" customHeight="1">
      <c r="A26" s="1">
        <v>11</v>
      </c>
      <c r="B26" s="216" t="s">
        <v>161</v>
      </c>
      <c r="C26" s="219" t="str">
        <f>+IFERROR(VLOOKUP(B26,'Validacion de datos'!A:B,2,0),"")</f>
        <v>Diagnosticar, estructurar, formular, asesorar y acompañar los proyectos de Vivienda y Hábitat de la Empresa de Vivienda de Antioquia-VIVA, aplicando aprendizajes adquiridos mediante diversas herramientas de investigación  velando así por la innovación, la sostenibilidad, la gestión socio cultural y la integración de los proyectos en los territorios y las comunidades, para el cumplimiento de la misión de la Entidad respondiendo a los ODS.</v>
      </c>
      <c r="D26" s="8" t="s">
        <v>113</v>
      </c>
      <c r="E26" s="8"/>
      <c r="F26" s="8" t="s">
        <v>94</v>
      </c>
      <c r="G26" s="19" t="s">
        <v>162</v>
      </c>
      <c r="H26" s="81" t="s">
        <v>163</v>
      </c>
      <c r="I26" s="6" t="s">
        <v>164</v>
      </c>
      <c r="J26" s="4">
        <v>243</v>
      </c>
      <c r="K26" s="52" t="str">
        <f t="shared" si="9"/>
        <v>Media</v>
      </c>
      <c r="L26" s="54">
        <f t="shared" si="0"/>
        <v>0.6</v>
      </c>
      <c r="M26" s="55" t="s">
        <v>117</v>
      </c>
      <c r="N26" s="182" t="str">
        <f>IF(NOT(ISERROR(MATCH(M26,'Validacion de datos'!$H$14:$H$16,0))),'Validacion de datos'!$J$16&amp;"Por favor no seleccionar los criterios de impacto(Afectación Económica o presupuestal y Pérdida Reputacional)",M26)</f>
        <v>El riesgo afecta la imagen de de la entidad con efecto publicitario sostenido a nivel de sector administrativo, nivel departamental o municipal</v>
      </c>
      <c r="O26" s="52" t="str">
        <f>IF(OR(N26=IMPACTO!$C$3,N26=IMPACTO!$D$3),"Leve",IF(OR(N26=IMPACTO!$C$4,N26=IMPACTO!$D$4),"Menor",IF(OR(N26=IMPACTO!$C$5,N26=IMPACTO!$D$5),"Moderado",IF(OR(N26=IMPACTO!$C$6,N26=IMPACTO!$D$6),"Mayor",IF(OR(N26=IMPACTO!$C$7,N26=IMPACTO!$D$7),"Catastrófico","")))))</f>
        <v>Mayor</v>
      </c>
      <c r="P26" s="54">
        <f t="shared" si="10"/>
        <v>0.8</v>
      </c>
      <c r="Q26" s="78" t="str">
        <f t="shared" ref="Q26:Q112" si="17">IF(OR(AND(K26="Muy Baja",O26="Leve"),AND(K26="Muy Baja",O26="Menor"),AND(K26="Baja",O26="Leve")),"Bajo",IF(OR(AND(K26="Muy baja",O26="Moderado"),AND(K26="Baja",O26="Menor"),AND(K26="Baja",O26="Moderado"),AND(K26="Media",O26="Leve"),AND(K26="Media",O26="Menor"),AND(K26="Media",O26="Moderado"),AND(K26="Alta",O26="Leve"),AND(K26="Alta",O26="Menor")),"Moderado",IF(OR(AND(K26="Muy Baja",O26="Mayor"),AND(K26="Baja",O26="Mayor"),AND(K26="Media",O26="Mayor"),AND(K26="Alta",O26="Moderado"),AND(K26="Alta",O26="Mayor"),AND(K26="Muy Alta",O26="Leve"),AND(K26="Muy Alta",O26="Menor"),AND(K26="Muy Alta",O26="Moderado"),AND(K26="Muy Alta",O26="Mayor")),"Alto",IF(OR(AND(K26="Muy Baja",O26="Catastrófico"),AND(K26="Baja",O26="Catastrófico"),AND(K26="Media",O26="Catastrófico"),AND(K26="Alta",O26="Catastrófico"),AND(K26="Muy Alta",O26="Catastrófico")),"Extremo",""))))</f>
        <v>Alto</v>
      </c>
      <c r="R26" s="39">
        <v>1</v>
      </c>
      <c r="S26" s="40" t="s">
        <v>165</v>
      </c>
      <c r="T26" s="4" t="s">
        <v>166</v>
      </c>
      <c r="U26" s="68" t="str">
        <f t="shared" si="1"/>
        <v/>
      </c>
      <c r="V26" s="64"/>
      <c r="W26" s="64"/>
      <c r="X26" s="69" t="str">
        <f t="shared" si="12"/>
        <v/>
      </c>
      <c r="Y26" s="64"/>
      <c r="Z26" s="64"/>
      <c r="AA26" s="64"/>
      <c r="AB26" s="84" t="str">
        <f t="shared" si="13"/>
        <v/>
      </c>
      <c r="AC26" s="70" t="str">
        <f t="shared" si="4"/>
        <v/>
      </c>
      <c r="AD26" s="75" t="str">
        <f t="shared" si="14"/>
        <v/>
      </c>
      <c r="AE26" s="70" t="str">
        <f t="shared" si="6"/>
        <v/>
      </c>
      <c r="AF26" s="69" t="str">
        <f t="shared" si="15"/>
        <v/>
      </c>
      <c r="AG26" s="71" t="str">
        <f t="shared" si="16"/>
        <v/>
      </c>
      <c r="AH26" s="64"/>
      <c r="AI26" s="161"/>
      <c r="AJ26" s="64"/>
    </row>
    <row r="27" spans="1:36" ht="159" customHeight="1">
      <c r="A27" s="1">
        <v>12</v>
      </c>
      <c r="B27" s="217"/>
      <c r="C27" s="220"/>
      <c r="D27" s="8" t="s">
        <v>106</v>
      </c>
      <c r="E27" s="8"/>
      <c r="F27" s="8" t="s">
        <v>94</v>
      </c>
      <c r="G27" s="19" t="s">
        <v>167</v>
      </c>
      <c r="H27" s="81" t="s">
        <v>168</v>
      </c>
      <c r="I27" s="81" t="s">
        <v>169</v>
      </c>
      <c r="J27" s="4">
        <v>4</v>
      </c>
      <c r="K27" s="52" t="str">
        <f t="shared" si="9"/>
        <v>Baja</v>
      </c>
      <c r="L27" s="54">
        <f t="shared" si="0"/>
        <v>0.4</v>
      </c>
      <c r="M27" s="55" t="s">
        <v>170</v>
      </c>
      <c r="N27" s="182" t="str">
        <f>IF(NOT(ISERROR(MATCH(M27,'Validacion de datos'!$H$14:$H$16,0))),'Validacion de datos'!$J$16&amp;"Por favor no seleccionar los criterios de impacto(Afectación Económica o presupuestal y Pérdida Reputacional)",M27)</f>
        <v>El riesgo afecta la imagen de la entidad a nivel nacional, con efecto publicitarios sostenible a nivel país</v>
      </c>
      <c r="O27" s="52" t="str">
        <f>IF(OR(N27=IMPACTO!$C$3,N27=IMPACTO!$D$3),"Leve",IF(OR(N27=IMPACTO!$C$4,N27=IMPACTO!$D$4),"Menor",IF(OR(N27=IMPACTO!$C$5,N27=IMPACTO!$D$5),"Moderado",IF(OR(N27=IMPACTO!$C$6,N27=IMPACTO!$D$6),"Mayor",IF(OR(N27=IMPACTO!$C$7,N27=IMPACTO!$D$7),"Catastrófico","")))))</f>
        <v>Catastrófico</v>
      </c>
      <c r="P27" s="54">
        <f t="shared" si="10"/>
        <v>1</v>
      </c>
      <c r="Q27" s="78" t="str">
        <f t="shared" si="17"/>
        <v>Extremo</v>
      </c>
      <c r="R27" s="39">
        <v>1</v>
      </c>
      <c r="S27" s="83" t="s">
        <v>171</v>
      </c>
      <c r="T27" s="4" t="s">
        <v>166</v>
      </c>
      <c r="U27" s="68" t="str">
        <f t="shared" si="1"/>
        <v/>
      </c>
      <c r="V27" s="64"/>
      <c r="W27" s="64"/>
      <c r="X27" s="69" t="str">
        <f t="shared" si="12"/>
        <v/>
      </c>
      <c r="Y27" s="64"/>
      <c r="Z27" s="64"/>
      <c r="AA27" s="64"/>
      <c r="AB27" s="84" t="str">
        <f t="shared" si="13"/>
        <v/>
      </c>
      <c r="AC27" s="70" t="str">
        <f t="shared" si="4"/>
        <v/>
      </c>
      <c r="AD27" s="75" t="str">
        <f t="shared" si="14"/>
        <v/>
      </c>
      <c r="AE27" s="70" t="str">
        <f t="shared" si="6"/>
        <v/>
      </c>
      <c r="AF27" s="69" t="str">
        <f t="shared" si="15"/>
        <v/>
      </c>
      <c r="AG27" s="71" t="str">
        <f t="shared" si="16"/>
        <v/>
      </c>
      <c r="AH27" s="64"/>
      <c r="AI27" s="161"/>
      <c r="AJ27" s="64"/>
    </row>
    <row r="28" spans="1:36" ht="159" customHeight="1">
      <c r="A28" s="1">
        <v>13</v>
      </c>
      <c r="B28" s="217"/>
      <c r="C28" s="220"/>
      <c r="D28" s="7" t="s">
        <v>135</v>
      </c>
      <c r="E28" s="7"/>
      <c r="F28" s="7" t="s">
        <v>129</v>
      </c>
      <c r="G28" s="19" t="s">
        <v>172</v>
      </c>
      <c r="H28" s="81" t="s">
        <v>173</v>
      </c>
      <c r="I28" s="6" t="s">
        <v>174</v>
      </c>
      <c r="J28" s="4">
        <v>1</v>
      </c>
      <c r="K28" s="52" t="str">
        <f t="shared" si="9"/>
        <v>Muy Baja</v>
      </c>
      <c r="L28" s="54">
        <f t="shared" si="0"/>
        <v>0.2</v>
      </c>
      <c r="M28" s="55" t="s">
        <v>117</v>
      </c>
      <c r="N28" s="182" t="str">
        <f>IF(NOT(ISERROR(MATCH(M28,'Validacion de datos'!$H$14:$H$16,0))),'Validacion de datos'!$J$16&amp;"Por favor no seleccionar los criterios de impacto(Afectación Económica o presupuestal y Pérdida Reputacional)",M28)</f>
        <v>El riesgo afecta la imagen de de la entidad con efecto publicitario sostenido a nivel de sector administrativo, nivel departamental o municipal</v>
      </c>
      <c r="O28" s="52" t="str">
        <f>IF(OR(N28=IMPACTO!$C$3,N28=IMPACTO!$D$3),"Leve",IF(OR(N28=IMPACTO!$C$4,N28=IMPACTO!$D$4),"Menor",IF(OR(N28=IMPACTO!$C$5,N28=IMPACTO!$D$5),"Moderado",IF(OR(N28=IMPACTO!$C$6,N28=IMPACTO!$D$6),"Mayor",IF(OR(N28=IMPACTO!$C$7,N28=IMPACTO!$D$7),"Catastrófico","")))))</f>
        <v>Mayor</v>
      </c>
      <c r="P28" s="54">
        <f t="shared" si="10"/>
        <v>0.8</v>
      </c>
      <c r="Q28" s="78" t="str">
        <f t="shared" si="17"/>
        <v>Alto</v>
      </c>
      <c r="R28" s="39">
        <v>1</v>
      </c>
      <c r="S28" s="83" t="s">
        <v>175</v>
      </c>
      <c r="T28" s="4" t="s">
        <v>166</v>
      </c>
      <c r="U28" s="68" t="str">
        <f t="shared" si="1"/>
        <v/>
      </c>
      <c r="V28" s="64"/>
      <c r="W28" s="64"/>
      <c r="X28" s="69" t="str">
        <f t="shared" si="12"/>
        <v/>
      </c>
      <c r="Y28" s="64"/>
      <c r="Z28" s="64"/>
      <c r="AA28" s="64"/>
      <c r="AB28" s="65" t="str">
        <f t="shared" si="13"/>
        <v/>
      </c>
      <c r="AC28" s="70" t="str">
        <f t="shared" si="4"/>
        <v/>
      </c>
      <c r="AD28" s="69" t="str">
        <f t="shared" si="14"/>
        <v/>
      </c>
      <c r="AE28" s="70" t="str">
        <f t="shared" si="6"/>
        <v/>
      </c>
      <c r="AF28" s="69" t="str">
        <f t="shared" si="15"/>
        <v/>
      </c>
      <c r="AG28" s="71" t="str">
        <f t="shared" si="16"/>
        <v/>
      </c>
      <c r="AH28" s="64"/>
      <c r="AI28" s="161"/>
      <c r="AJ28" s="64"/>
    </row>
    <row r="29" spans="1:36" ht="159" customHeight="1">
      <c r="A29" s="156">
        <v>14</v>
      </c>
      <c r="B29" s="218"/>
      <c r="C29" s="221"/>
      <c r="D29" s="157" t="s">
        <v>113</v>
      </c>
      <c r="E29" s="157"/>
      <c r="F29" s="157" t="s">
        <v>129</v>
      </c>
      <c r="G29" s="186" t="s">
        <v>176</v>
      </c>
      <c r="H29" s="81" t="s">
        <v>177</v>
      </c>
      <c r="I29" s="6" t="s">
        <v>178</v>
      </c>
      <c r="J29" s="4">
        <v>38</v>
      </c>
      <c r="K29" s="52" t="str">
        <f t="shared" si="9"/>
        <v>Media</v>
      </c>
      <c r="L29" s="54">
        <f t="shared" si="0"/>
        <v>0.6</v>
      </c>
      <c r="M29" s="55" t="s">
        <v>117</v>
      </c>
      <c r="N29" s="182" t="str">
        <f>IF(NOT(ISERROR(MATCH(M29,'Validacion de datos'!$H$14:$H$16,0))),'Validacion de datos'!$J$16&amp;"Por favor no seleccionar los criterios de impacto(Afectación Económica o presupuestal y Pérdida Reputacional)",M29)</f>
        <v>El riesgo afecta la imagen de de la entidad con efecto publicitario sostenido a nivel de sector administrativo, nivel departamental o municipal</v>
      </c>
      <c r="O29" s="52" t="str">
        <f>IF(OR(N29=IMPACTO!$C$3,N29=IMPACTO!$D$3),"Leve",IF(OR(N29=IMPACTO!$C$4,N29=IMPACTO!$D$4),"Menor",IF(OR(N29=IMPACTO!$C$5,N29=IMPACTO!$D$5),"Moderado",IF(OR(N29=IMPACTO!$C$6,N29=IMPACTO!$D$6),"Mayor",IF(OR(N29=IMPACTO!$C$7,N29=IMPACTO!$D$7),"Catastrófico","")))))</f>
        <v>Mayor</v>
      </c>
      <c r="P29" s="54">
        <f t="shared" ref="P29" si="18">IF(O29="","",IF(O29="Leve",0.2,IF(O29="Menor",0.4,IF(O29="Moderado",0.6,IF(O29="Mayor",0.8,IF(O29="Catastrófico",1,))))))</f>
        <v>0.8</v>
      </c>
      <c r="Q29" s="78" t="str">
        <f t="shared" ref="Q29" si="19">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Alto</v>
      </c>
      <c r="R29" s="39">
        <v>1</v>
      </c>
      <c r="S29" s="83" t="s">
        <v>179</v>
      </c>
      <c r="T29" s="4" t="s">
        <v>180</v>
      </c>
      <c r="U29" s="68"/>
      <c r="V29" s="64"/>
      <c r="W29" s="64"/>
      <c r="X29" s="69"/>
      <c r="Y29" s="64"/>
      <c r="Z29" s="64"/>
      <c r="AA29" s="64"/>
      <c r="AB29" s="65"/>
      <c r="AC29" s="70"/>
      <c r="AD29" s="75"/>
      <c r="AE29" s="70"/>
      <c r="AF29" s="69"/>
      <c r="AG29" s="71"/>
      <c r="AH29" s="64"/>
      <c r="AI29" s="161"/>
      <c r="AJ29" s="64"/>
    </row>
    <row r="30" spans="1:36" ht="159" customHeight="1">
      <c r="A30" s="216">
        <v>15</v>
      </c>
      <c r="B30" s="216" t="s">
        <v>181</v>
      </c>
      <c r="C30" s="219" t="str">
        <f>+IFERROR(VLOOKUP(B30,'Validacion de datos'!A:B,2,0),"")</f>
        <v xml:space="preserve">Ejecutar y supervisar proyectos gestionados por la Empresa de Vivienda de Antioquia - VIVA con entidades públicas y privadas mediante control y seguimiento de los procesos y actividades derivados del ejercicio contractual de los contratos y/o convenidos celebrados por la entidad.
</v>
      </c>
      <c r="D30" s="225" t="s">
        <v>113</v>
      </c>
      <c r="E30" s="225"/>
      <c r="F30" s="225" t="s">
        <v>94</v>
      </c>
      <c r="G30" s="219" t="s">
        <v>182</v>
      </c>
      <c r="H30" s="19" t="s">
        <v>183</v>
      </c>
      <c r="I30" s="19" t="s">
        <v>184</v>
      </c>
      <c r="J30" s="4">
        <v>243</v>
      </c>
      <c r="K30" s="52" t="str">
        <f t="shared" si="9"/>
        <v>Media</v>
      </c>
      <c r="L30" s="54">
        <f t="shared" si="0"/>
        <v>0.6</v>
      </c>
      <c r="M30" s="55" t="s">
        <v>110</v>
      </c>
      <c r="N30" s="53" t="str">
        <f>IF(NOT(ISERROR(MATCH(M30,'Validacion de datos'!$H$14:$H$16,0))),'Validacion de datos'!$J$16&amp;"Por favor no seleccionar los criterios de impacto(Afectación Económica o presupuestal y Pérdida Reputacional)",M30)</f>
        <v>El riesgo afecta la imagen de la entidad con algunos usuarios de relevancia frente al logro de los objetivos</v>
      </c>
      <c r="O30" s="52" t="str">
        <f>IF(OR(N30=IMPACTO!$C$3,N30=IMPACTO!$D$3),"Leve",IF(OR(N30=IMPACTO!$C$4,N30=IMPACTO!$D$4),"Menor",IF(OR(N30=IMPACTO!$C$5,N30=IMPACTO!$D$5),"Moderado",IF(OR(N30=IMPACTO!$C$6,N30=IMPACTO!$D$6),"Mayor",IF(OR(N30=IMPACTO!$C$7,N30=IMPACTO!$D$7),"Catastrófico","")))))</f>
        <v>Moderado</v>
      </c>
      <c r="P30" s="54">
        <f t="shared" ref="P30" si="20">IF(O30="","",IF(O30="Leve",0.2,IF(O30="Menor",0.4,IF(O30="Moderado",0.6,IF(O30="Mayor",0.8,IF(O30="Catastrófico",1,))))))</f>
        <v>0.6</v>
      </c>
      <c r="Q30" s="78" t="str">
        <f t="shared" ref="Q30" si="21">IF(OR(AND(K30="Muy Baja",O30="Leve"),AND(K30="Muy Baja",O30="Menor"),AND(K30="Baja",O30="Leve")),"Bajo",IF(OR(AND(K30="Muy baja",O30="Moderado"),AND(K30="Baja",O30="Menor"),AND(K30="Baja",O30="Moderado"),AND(K30="Media",O30="Leve"),AND(K30="Media",O30="Menor"),AND(K30="Media",O30="Moderado"),AND(K30="Alta",O30="Leve"),AND(K30="Alta",O30="Menor")),"Moderado",IF(OR(AND(K30="Muy Baja",O30="Mayor"),AND(K30="Baja",O30="Mayor"),AND(K30="Media",O30="Mayor"),AND(K30="Alta",O30="Moderado"),AND(K30="Alta",O30="Mayor"),AND(K30="Muy Alta",O30="Leve"),AND(K30="Muy Alta",O30="Menor"),AND(K30="Muy Alta",O30="Moderado"),AND(K30="Muy Alta",O30="Mayor")),"Alto",IF(OR(AND(K30="Muy Baja",O30="Catastrófico"),AND(K30="Baja",O30="Catastrófico"),AND(K30="Media",O30="Catastrófico"),AND(K30="Alta",O30="Catastrófico"),AND(K30="Muy Alta",O30="Catastrófico")),"Extremo",""))))</f>
        <v>Moderado</v>
      </c>
      <c r="R30" s="39">
        <v>1</v>
      </c>
      <c r="S30" s="83" t="s">
        <v>185</v>
      </c>
      <c r="T30" s="4" t="s">
        <v>186</v>
      </c>
      <c r="U30" s="68" t="str">
        <f t="shared" si="1"/>
        <v/>
      </c>
      <c r="V30" s="64"/>
      <c r="W30" s="64"/>
      <c r="X30" s="69" t="str">
        <f t="shared" si="12"/>
        <v/>
      </c>
      <c r="Y30" s="64"/>
      <c r="Z30" s="64"/>
      <c r="AA30" s="64"/>
      <c r="AB30" s="65" t="str">
        <f t="shared" ref="AB30:AB35" si="22">IFERROR(IF(U30="Probabilidad",(L30-(+L30*X30)),IF(U30="Impacto",L30,"")),"")</f>
        <v/>
      </c>
      <c r="AC30" s="70" t="str">
        <f t="shared" ref="AC30:AC35" si="23">IFERROR(IF(AB30="","",IF(AB30&lt;=0.2,"Muy Baja",IF(AB30&lt;=0.4,"Baja",IF(AB30&lt;=0.6,"Media",IF(AB30&lt;=0.8,"Alta","Muy Alta"))))),"")</f>
        <v/>
      </c>
      <c r="AD30" s="75" t="str">
        <f t="shared" ref="AD30:AD35" si="24">+AB30</f>
        <v/>
      </c>
      <c r="AE30" s="70" t="str">
        <f t="shared" ref="AE30:AE35" si="25">IFERROR(IF(AF30="","",IF(AF30&lt;=0.2,"Leve",IF(AF30&lt;=0.4,"Menor",IF(AF30&lt;=0.6,"Moderado",IF(AF30&lt;=0.8,"Mayor","Catastrófico"))))),"")</f>
        <v/>
      </c>
      <c r="AF30" s="69" t="str">
        <f t="shared" ref="AF30:AF35" si="26">IFERROR(IF(U30="Impacto",(P30-(+P30*X30)),IF(U30="Probabilidad",P30,"")),"")</f>
        <v/>
      </c>
      <c r="AG30" s="71" t="str">
        <f t="shared" ref="AG30:AG35" si="27">IFERROR(IF(OR(AND(AC30="Muy Baja",AE30="Leve"),AND(AC30="Muy Baja",AE30="Menor"),AND(AC30="Baja",AE30="Leve")),"Bajo",IF(OR(AND(AC30="Muy baja",AE30="Moderado"),AND(AC30="Baja",AE30="Menor"),AND(AC30="Baja",AE30="Moderado"),AND(AC30="Media",AE30="Leve"),AND(AC30="Media",AE30="Menor"),AND(AC30="Media",AE30="Moderado"),AND(AC30="Alta",AE30="Leve"),AND(AC30="Alta",AE30="Menor")),"Moderado",IF(OR(AND(AC30="Muy Baja",AE30="Mayor"),AND(AC30="Baja",AE30="Mayor"),AND(AC30="Media",AE30="Mayor"),AND(AC30="Alta",AE30="Moderado"),AND(AC30="Alta",AE30="Mayor"),AND(AC30="Muy Alta",AE30="Leve"),AND(AC30="Muy Alta",AE30="Menor"),AND(AC30="Muy Alta",AE30="Moderado"),AND(AC30="Muy Alta",AE30="Mayor")),"Alto",IF(OR(AND(AC30="Muy Baja",AE30="Catastrófico"),AND(AC30="Baja",AE30="Catastrófico"),AND(AC30="Media",AE30="Catastrófico"),AND(AC30="Alta",AE30="Catastrófico"),AND(AC30="Muy Alta",AE30="Catastrófico")),"Extremo","")))),"")</f>
        <v/>
      </c>
      <c r="AH30" s="64"/>
      <c r="AI30" s="161"/>
      <c r="AJ30" s="64"/>
    </row>
    <row r="31" spans="1:36" ht="159" customHeight="1">
      <c r="A31" s="218"/>
      <c r="B31" s="217"/>
      <c r="C31" s="220"/>
      <c r="D31" s="227"/>
      <c r="E31" s="227"/>
      <c r="F31" s="227"/>
      <c r="G31" s="221"/>
      <c r="H31" s="19" t="s">
        <v>187</v>
      </c>
      <c r="I31" s="19" t="s">
        <v>188</v>
      </c>
      <c r="J31" s="4">
        <v>243</v>
      </c>
      <c r="K31" s="52" t="str">
        <f t="shared" si="9"/>
        <v>Media</v>
      </c>
      <c r="L31" s="54">
        <f t="shared" si="0"/>
        <v>0.6</v>
      </c>
      <c r="M31" s="55" t="s">
        <v>110</v>
      </c>
      <c r="N31" s="53" t="str">
        <f>IF(NOT(ISERROR(MATCH(M31,'Validacion de datos'!$H$14:$H$16,0))),'Validacion de datos'!$J$16&amp;"Por favor no seleccionar los criterios de impacto(Afectación Económica o presupuestal y Pérdida Reputacional)",M31)</f>
        <v>El riesgo afecta la imagen de la entidad con algunos usuarios de relevancia frente al logro de los objetivos</v>
      </c>
      <c r="O31" s="52" t="str">
        <f>IF(OR(N31=IMPACTO!$C$3,N31=IMPACTO!$D$3),"Leve",IF(OR(N31=IMPACTO!$C$4,N31=IMPACTO!$D$4),"Menor",IF(OR(N31=IMPACTO!$C$5,N31=IMPACTO!$D$5),"Moderado",IF(OR(N31=IMPACTO!$C$6,N31=IMPACTO!$D$6),"Mayor",IF(OR(N31=IMPACTO!$C$7,N31=IMPACTO!$D$7),"Catastrófico","")))))</f>
        <v>Moderado</v>
      </c>
      <c r="P31" s="54">
        <f t="shared" si="10"/>
        <v>0.6</v>
      </c>
      <c r="Q31" s="78" t="str">
        <f t="shared" si="17"/>
        <v>Moderado</v>
      </c>
      <c r="R31" s="39">
        <v>2</v>
      </c>
      <c r="S31" s="83" t="s">
        <v>189</v>
      </c>
      <c r="T31" s="4" t="s">
        <v>186</v>
      </c>
      <c r="U31" s="68" t="str">
        <f t="shared" si="1"/>
        <v/>
      </c>
      <c r="V31" s="64"/>
      <c r="W31" s="64"/>
      <c r="X31" s="69" t="str">
        <f t="shared" si="12"/>
        <v/>
      </c>
      <c r="Y31" s="64"/>
      <c r="Z31" s="64"/>
      <c r="AA31" s="64"/>
      <c r="AB31" s="65" t="str">
        <f t="shared" si="22"/>
        <v/>
      </c>
      <c r="AC31" s="70" t="str">
        <f t="shared" si="23"/>
        <v/>
      </c>
      <c r="AD31" s="75" t="str">
        <f t="shared" si="24"/>
        <v/>
      </c>
      <c r="AE31" s="70" t="str">
        <f t="shared" si="25"/>
        <v/>
      </c>
      <c r="AF31" s="69" t="str">
        <f t="shared" si="26"/>
        <v/>
      </c>
      <c r="AG31" s="71" t="str">
        <f t="shared" si="27"/>
        <v/>
      </c>
      <c r="AH31" s="64"/>
      <c r="AI31" s="161"/>
      <c r="AJ31" s="64"/>
    </row>
    <row r="32" spans="1:36" ht="159" customHeight="1">
      <c r="A32" s="156">
        <v>16</v>
      </c>
      <c r="B32" s="217"/>
      <c r="C32" s="220"/>
      <c r="D32" s="157" t="s">
        <v>113</v>
      </c>
      <c r="E32" s="157"/>
      <c r="F32" s="157" t="s">
        <v>94</v>
      </c>
      <c r="G32" s="155" t="s">
        <v>190</v>
      </c>
      <c r="H32" s="158" t="s">
        <v>191</v>
      </c>
      <c r="I32" s="158" t="s">
        <v>192</v>
      </c>
      <c r="J32" s="76">
        <v>243</v>
      </c>
      <c r="K32" s="85" t="str">
        <f t="shared" ref="K32:K36" si="28">IF(J32&lt;=0,"",IF(J32&lt;=2,"Muy Baja",IF(J32&lt;=24,"Baja",IF(J32&lt;=500,"Media",IF(J32&lt;=5000,"Alta","Muy Alta")))))</f>
        <v>Media</v>
      </c>
      <c r="L32" s="89">
        <f t="shared" ref="L32:L36" si="29">IF(K32="","",IF(K32="Muy Baja",0.2,IF(K32="Baja",0.4,IF(K32="Media",0.6,IF(K32="Alta",0.8,IF(K32="Muy Alta",1,))))))</f>
        <v>0.6</v>
      </c>
      <c r="M32" s="87" t="s">
        <v>110</v>
      </c>
      <c r="N32" s="89" t="str">
        <f>IF(NOT(ISERROR(MATCH(M32,'Validacion de datos'!$H$14:$H$16,0))),'Validacion de datos'!$J$16&amp;"Por favor no seleccionar los criterios de impacto(Afectación Económica o presupuestal y Pérdida Reputacional)",M32)</f>
        <v>El riesgo afecta la imagen de la entidad con algunos usuarios de relevancia frente al logro de los objetivos</v>
      </c>
      <c r="O32" s="85" t="str">
        <f>IF(OR(N32=IMPACTO!$C$3,N32=IMPACTO!$D$3),"Leve",IF(OR(N32=IMPACTO!$C$4,N32=IMPACTO!$D$4),"Menor",IF(OR(N32=IMPACTO!$C$5,N32=IMPACTO!$D$5),"Moderado",IF(OR(N32=IMPACTO!$C$6,N32=IMPACTO!$D$6),"Mayor",IF(OR(N32=IMPACTO!$C$7,N32=IMPACTO!$D$7),"Catastrófico","")))))</f>
        <v>Moderado</v>
      </c>
      <c r="P32" s="88">
        <f>IF(O32="","",IF(O32="Leve",0.2,IF(O32="Menor",0.4,IF(O32="Moderado",0.6,IF(O32="Mayor",0.8,IF(O32="Catastrófico",1,))))))</f>
        <v>0.6</v>
      </c>
      <c r="Q32" s="91" t="str">
        <f>IF(OR(AND(K32="Muy Baja",O32="Leve"),AND(K32="Muy Baja",O32="Menor"),AND(K32="Baja",O32="Leve")),"Bajo",IF(OR(AND(K32="Muy baja",O32="Moderado"),AND(K32="Baja",O32="Menor"),AND(K32="Baja",O32="Moderado"),AND(K32="Media",O32="Leve"),AND(K32="Media",O32="Menor"),AND(K32="Media",O32="Moderado"),AND(K32="Alta",O32="Leve"),AND(K32="Alta",O32="Menor")),"Moderado",IF(OR(AND(K32="Muy Baja",O32="Mayor"),AND(K32="Baja",O32="Mayor"),AND(K32="Media",O32="Mayor"),AND(K32="Alta",O32="Moderado"),AND(K32="Alta",O32="Mayor"),AND(K32="Muy Alta",O32="Leve"),AND(K32="Muy Alta",O32="Menor"),AND(K32="Muy Alta",O32="Moderado"),AND(K32="Muy Alta",O32="Mayor")),"Alto",IF(OR(AND(K32="Muy Baja",O32="Catastrófico"),AND(K32="Baja",O32="Catastrófico"),AND(K32="Media",O32="Catastrófico"),AND(K32="Alta",O32="Catastrófico"),AND(K32="Muy Alta",O32="Catastrófico")),"Extremo",""))))</f>
        <v>Moderado</v>
      </c>
      <c r="R32" s="39">
        <v>1</v>
      </c>
      <c r="S32" s="83" t="s">
        <v>193</v>
      </c>
      <c r="T32" s="4" t="s">
        <v>186</v>
      </c>
      <c r="U32" s="68" t="str">
        <f t="shared" si="1"/>
        <v/>
      </c>
      <c r="V32" s="64"/>
      <c r="W32" s="64"/>
      <c r="X32" s="69" t="str">
        <f t="shared" si="12"/>
        <v/>
      </c>
      <c r="Y32" s="64"/>
      <c r="Z32" s="64"/>
      <c r="AA32" s="64"/>
      <c r="AB32" s="65" t="str">
        <f t="shared" si="22"/>
        <v/>
      </c>
      <c r="AC32" s="70" t="str">
        <f t="shared" si="23"/>
        <v/>
      </c>
      <c r="AD32" s="75" t="str">
        <f t="shared" si="24"/>
        <v/>
      </c>
      <c r="AE32" s="70" t="str">
        <f>IFERROR(IF(AF32="","",IF(AF32&lt;=0.2,"Leve",IF(AF32&lt;=0.4,"Menor",IF(AF32&lt;=0.6,"Moderado",IF(AF32&lt;=0.8,"Mayor","Catastrófico"))))),"")</f>
        <v/>
      </c>
      <c r="AF32" s="69" t="str">
        <f t="shared" si="26"/>
        <v/>
      </c>
      <c r="AG32" s="71"/>
      <c r="AH32" s="64"/>
      <c r="AI32" s="161"/>
      <c r="AJ32" s="64"/>
    </row>
    <row r="33" spans="1:36" ht="159" customHeight="1">
      <c r="A33" s="1">
        <v>17</v>
      </c>
      <c r="B33" s="217"/>
      <c r="C33" s="220"/>
      <c r="D33" s="7" t="s">
        <v>106</v>
      </c>
      <c r="E33" s="7"/>
      <c r="F33" s="7" t="s">
        <v>94</v>
      </c>
      <c r="G33" s="19" t="s">
        <v>194</v>
      </c>
      <c r="H33" s="81" t="s">
        <v>195</v>
      </c>
      <c r="I33" s="159" t="s">
        <v>196</v>
      </c>
      <c r="J33" s="4">
        <v>243</v>
      </c>
      <c r="K33" s="52" t="str">
        <f t="shared" si="28"/>
        <v>Media</v>
      </c>
      <c r="L33" s="54">
        <f t="shared" si="29"/>
        <v>0.6</v>
      </c>
      <c r="M33" s="4" t="s">
        <v>110</v>
      </c>
      <c r="N33" s="53" t="str">
        <f>IF(NOT(ISERROR(MATCH(M33,'Validacion de datos'!$H$14:$H$16,0))),'Validacion de datos'!$J$16&amp;"Por favor no seleccionar los criterios de impacto(Afectación Económica o presupuestal y Pérdida Reputacional)",M33)</f>
        <v>El riesgo afecta la imagen de la entidad con algunos usuarios de relevancia frente al logro de los objetivos</v>
      </c>
      <c r="O33" s="52" t="str">
        <f>IF(OR(N33=IMPACTO!$C$3,N33=IMPACTO!$D$3),"Leve",IF(OR(N33=IMPACTO!$C$4,N33=IMPACTO!$D$4),"Menor",IF(OR(N33=IMPACTO!$C$5,N33=IMPACTO!$D$5),"Moderado",IF(OR(N33=IMPACTO!$C$6,N33=IMPACTO!$D$6),"Mayor",IF(OR(N33=IMPACTO!$C$7,N33=IMPACTO!$D$7),"Catastrófico","")))))</f>
        <v>Moderado</v>
      </c>
      <c r="P33" s="54">
        <f t="shared" si="10"/>
        <v>0.6</v>
      </c>
      <c r="Q33" s="78" t="str">
        <f t="shared" si="17"/>
        <v>Moderado</v>
      </c>
      <c r="R33" s="39">
        <v>1</v>
      </c>
      <c r="S33" s="40" t="s">
        <v>197</v>
      </c>
      <c r="T33" s="4" t="s">
        <v>198</v>
      </c>
      <c r="U33" s="68" t="str">
        <f t="shared" si="1"/>
        <v/>
      </c>
      <c r="V33" s="64"/>
      <c r="W33" s="64"/>
      <c r="X33" s="69" t="str">
        <f t="shared" si="12"/>
        <v/>
      </c>
      <c r="Y33" s="64"/>
      <c r="Z33" s="64"/>
      <c r="AA33" s="64"/>
      <c r="AB33" s="65" t="str">
        <f t="shared" si="22"/>
        <v/>
      </c>
      <c r="AC33" s="70" t="str">
        <f t="shared" si="23"/>
        <v/>
      </c>
      <c r="AD33" s="75" t="str">
        <f t="shared" si="24"/>
        <v/>
      </c>
      <c r="AE33" s="70" t="str">
        <f t="shared" si="25"/>
        <v/>
      </c>
      <c r="AF33" s="69" t="str">
        <f t="shared" si="26"/>
        <v/>
      </c>
      <c r="AG33" s="71" t="str">
        <f t="shared" si="27"/>
        <v/>
      </c>
      <c r="AH33" s="64"/>
      <c r="AI33" s="161"/>
      <c r="AJ33" s="64"/>
    </row>
    <row r="34" spans="1:36" ht="215.1" customHeight="1">
      <c r="A34" s="1">
        <v>18</v>
      </c>
      <c r="B34" s="217"/>
      <c r="C34" s="220"/>
      <c r="D34" s="7"/>
      <c r="E34" s="7" t="s">
        <v>156</v>
      </c>
      <c r="F34" s="7" t="s">
        <v>129</v>
      </c>
      <c r="G34" s="19" t="s">
        <v>199</v>
      </c>
      <c r="H34" s="81" t="s">
        <v>200</v>
      </c>
      <c r="I34" s="81" t="s">
        <v>201</v>
      </c>
      <c r="J34" s="4">
        <v>600</v>
      </c>
      <c r="K34" s="52" t="str">
        <f t="shared" si="28"/>
        <v>Alta</v>
      </c>
      <c r="L34" s="54">
        <f t="shared" si="29"/>
        <v>0.8</v>
      </c>
      <c r="M34" s="55" t="s">
        <v>110</v>
      </c>
      <c r="N34" s="53" t="str">
        <f>IF(NOT(ISERROR(MATCH(M34,'Validacion de datos'!$H$14:$H$16,0))),'Validacion de datos'!$J$16&amp;"Por favor no seleccionar los criterios de impacto(Afectación Económica o presupuestal y Pérdida Reputacional)",M34)</f>
        <v>El riesgo afecta la imagen de la entidad con algunos usuarios de relevancia frente al logro de los objetivos</v>
      </c>
      <c r="O34" s="52" t="str">
        <f>IF(OR(N34=IMPACTO!$C$3,N34=IMPACTO!$D$3),"Leve",IF(OR(N34=IMPACTO!$C$4,N34=IMPACTO!$D$4),"Menor",IF(OR(N34=IMPACTO!$C$5,N34=IMPACTO!$D$5),"Moderado",IF(OR(N34=IMPACTO!$C$6,N34=IMPACTO!$D$6),"Mayor",IF(OR(N34=IMPACTO!$C$7,N34=IMPACTO!$D$7),"Catastrófico","")))))</f>
        <v>Moderado</v>
      </c>
      <c r="P34" s="54">
        <f t="shared" si="10"/>
        <v>0.6</v>
      </c>
      <c r="Q34" s="78" t="str">
        <f t="shared" si="17"/>
        <v>Alto</v>
      </c>
      <c r="R34" s="39">
        <v>1</v>
      </c>
      <c r="S34" s="83" t="s">
        <v>202</v>
      </c>
      <c r="T34" s="4" t="s">
        <v>198</v>
      </c>
      <c r="U34" s="68" t="str">
        <f t="shared" si="1"/>
        <v/>
      </c>
      <c r="V34" s="64"/>
      <c r="W34" s="64"/>
      <c r="X34" s="69" t="str">
        <f t="shared" si="12"/>
        <v/>
      </c>
      <c r="Y34" s="64"/>
      <c r="Z34" s="64"/>
      <c r="AA34" s="64"/>
      <c r="AB34" s="65" t="str">
        <f t="shared" si="22"/>
        <v/>
      </c>
      <c r="AC34" s="70" t="str">
        <f t="shared" si="23"/>
        <v/>
      </c>
      <c r="AD34" s="75" t="str">
        <f t="shared" si="24"/>
        <v/>
      </c>
      <c r="AE34" s="70" t="str">
        <f t="shared" si="25"/>
        <v/>
      </c>
      <c r="AF34" s="69" t="str">
        <f t="shared" si="26"/>
        <v/>
      </c>
      <c r="AG34" s="71" t="str">
        <f t="shared" si="27"/>
        <v/>
      </c>
      <c r="AH34" s="64"/>
      <c r="AI34" s="161"/>
      <c r="AJ34" s="64"/>
    </row>
    <row r="35" spans="1:36" ht="159" customHeight="1">
      <c r="A35" s="1">
        <v>19</v>
      </c>
      <c r="B35" s="218"/>
      <c r="C35" s="221"/>
      <c r="D35" s="7" t="s">
        <v>135</v>
      </c>
      <c r="E35" s="7"/>
      <c r="F35" s="7" t="s">
        <v>129</v>
      </c>
      <c r="G35" s="19" t="s">
        <v>203</v>
      </c>
      <c r="H35" s="81" t="s">
        <v>204</v>
      </c>
      <c r="I35" s="6" t="s">
        <v>205</v>
      </c>
      <c r="J35" s="4">
        <v>243</v>
      </c>
      <c r="K35" s="52" t="str">
        <f t="shared" si="28"/>
        <v>Media</v>
      </c>
      <c r="L35" s="54">
        <f t="shared" si="29"/>
        <v>0.6</v>
      </c>
      <c r="M35" s="55" t="s">
        <v>117</v>
      </c>
      <c r="N35" s="53" t="str">
        <f>IF(NOT(ISERROR(MATCH(M35,'Validacion de datos'!$H$14:$H$16,0))),'Validacion de datos'!$J$16&amp;"Por favor no seleccionar los criterios de impacto(Afectación Económica o presupuestal y Pérdida Reputacional)",M35)</f>
        <v>El riesgo afecta la imagen de de la entidad con efecto publicitario sostenido a nivel de sector administrativo, nivel departamental o municipal</v>
      </c>
      <c r="O35" s="52" t="str">
        <f>IF(OR(N35=IMPACTO!$C$3,N35=IMPACTO!$D$3),"Leve",IF(OR(N35=IMPACTO!$C$4,N35=IMPACTO!$D$4),"Menor",IF(OR(N35=IMPACTO!$C$5,N35=IMPACTO!$D$5),"Moderado",IF(OR(N35=IMPACTO!$C$6,N35=IMPACTO!$D$6),"Mayor",IF(OR(N35=IMPACTO!$C$7,N35=IMPACTO!$D$7),"Catastrófico","")))))</f>
        <v>Mayor</v>
      </c>
      <c r="P35" s="54">
        <f t="shared" si="10"/>
        <v>0.8</v>
      </c>
      <c r="Q35" s="78" t="str">
        <f t="shared" si="17"/>
        <v>Alto</v>
      </c>
      <c r="R35" s="39">
        <v>1</v>
      </c>
      <c r="S35" s="83" t="s">
        <v>206</v>
      </c>
      <c r="T35" s="4" t="s">
        <v>198</v>
      </c>
      <c r="U35" s="68" t="str">
        <f t="shared" si="1"/>
        <v/>
      </c>
      <c r="V35" s="64"/>
      <c r="W35" s="64"/>
      <c r="X35" s="69" t="str">
        <f t="shared" si="12"/>
        <v/>
      </c>
      <c r="Y35" s="64"/>
      <c r="Z35" s="64"/>
      <c r="AA35" s="64"/>
      <c r="AB35" s="65" t="str">
        <f t="shared" si="22"/>
        <v/>
      </c>
      <c r="AC35" s="70" t="str">
        <f t="shared" si="23"/>
        <v/>
      </c>
      <c r="AD35" s="75" t="str">
        <f t="shared" si="24"/>
        <v/>
      </c>
      <c r="AE35" s="70" t="str">
        <f t="shared" si="25"/>
        <v/>
      </c>
      <c r="AF35" s="69" t="str">
        <f t="shared" si="26"/>
        <v/>
      </c>
      <c r="AG35" s="71" t="str">
        <f t="shared" si="27"/>
        <v/>
      </c>
      <c r="AH35" s="64"/>
      <c r="AI35" s="161"/>
      <c r="AJ35" s="64"/>
    </row>
    <row r="36" spans="1:36" ht="159" customHeight="1">
      <c r="A36" s="216">
        <v>20</v>
      </c>
      <c r="B36" s="217" t="s">
        <v>207</v>
      </c>
      <c r="C36" s="220" t="str">
        <f>+IFERROR(VLOOKUP(B36,'Validacion de datos'!A:B,2,0),"")</f>
        <v>Promover y gestionar el suministro y entrega de materiales, maquinaria, equipos, herramientas, elementos de construcción y soluciones  integrales a través de la red de Aliados Estratégicos, para las entidades públicas y sin ánimo de lucro del orden local, departamental y nacional que se enfoquen en el desarrollo de proyectos de vivienda, mejoramientos de vivienda e infraestructura pública vinculados a los Planes de Desarrollo Municipales, Departamentales y Nacionales, así como los proyectos que desarrolla la Empresa de Vivienda de Antioquia VIVA.</v>
      </c>
      <c r="D36" s="222" t="s">
        <v>113</v>
      </c>
      <c r="E36" s="222" t="s">
        <v>142</v>
      </c>
      <c r="F36" s="222" t="s">
        <v>94</v>
      </c>
      <c r="G36" s="219" t="s">
        <v>208</v>
      </c>
      <c r="H36" s="313" t="s">
        <v>209</v>
      </c>
      <c r="I36" s="313" t="s">
        <v>210</v>
      </c>
      <c r="J36" s="76">
        <v>243</v>
      </c>
      <c r="K36" s="86" t="str">
        <f t="shared" si="28"/>
        <v>Media</v>
      </c>
      <c r="L36" s="54">
        <f t="shared" si="29"/>
        <v>0.6</v>
      </c>
      <c r="M36" s="87" t="s">
        <v>110</v>
      </c>
      <c r="N36" s="89" t="str">
        <f>IF(NOT(ISERROR(MATCH(M36,'Validacion de datos'!$H$14:$H$16,0))),'Validacion de datos'!$J$16&amp;"Por favor no seleccionar los criterios de impacto(Afectación Económica o presupuestal y Pérdida Reputacional)",M36)</f>
        <v>El riesgo afecta la imagen de la entidad con algunos usuarios de relevancia frente al logro de los objetivos</v>
      </c>
      <c r="O36" s="86" t="str">
        <f>IF(OR(N36=IMPACTO!$C$3,N36=IMPACTO!$D$3),"Leve",IF(OR(N36=IMPACTO!$C$4,N36=IMPACTO!$D$4),"Menor",IF(OR(N36=IMPACTO!$C$5,N36=IMPACTO!$D$5),"Moderado",IF(OR(N36=IMPACTO!$C$6,N36=IMPACTO!$D$6),"Mayor",IF(OR(N36=IMPACTO!$C$7,N36=IMPACTO!$D$7),"Catastrófico","")))))</f>
        <v>Moderado</v>
      </c>
      <c r="P36" s="54">
        <f>IF(O36="","",IF(O36="Leve",0.2,IF(O36="Menor",0.4,IF(O36="Moderado",0.6,IF(O36="Mayor",0.8,IF(O36="Catastrófico",1,))))))</f>
        <v>0.6</v>
      </c>
      <c r="Q36" s="90" t="str">
        <f>IF(OR(AND(K36="Muy Baja",O36="Leve"),AND(K36="Muy Baja",O36="Menor"),AND(K36="Baja",O36="Leve")),"Bajo",IF(OR(AND(K36="Muy baja",O36="Moderado"),AND(K36="Baja",O36="Menor"),AND(K36="Baja",O36="Moderado"),AND(K36="Media",O36="Leve"),AND(K36="Media",O36="Menor"),AND(K36="Media",O36="Moderado"),AND(K36="Alta",O36="Leve"),AND(K36="Alta",O36="Menor")),"Moderado",IF(OR(AND(K36="Muy Baja",O36="Mayor"),AND(K36="Baja",O36="Mayor"),AND(K36="Media",O36="Mayor"),AND(K36="Alta",O36="Moderado"),AND(K36="Alta",O36="Mayor"),AND(K36="Muy Alta",O36="Leve"),AND(K36="Muy Alta",O36="Menor"),AND(K36="Muy Alta",O36="Moderado"),AND(K36="Muy Alta",O36="Mayor")),"Alto",IF(OR(AND(K36="Muy Baja",O36="Catastrófico"),AND(K36="Baja",O36="Catastrófico"),AND(K36="Media",O36="Catastrófico"),AND(K36="Alta",O36="Catastrófico"),AND(K36="Muy Alta",O36="Catastrófico")),"Extremo",""))))</f>
        <v>Moderado</v>
      </c>
      <c r="R36" s="39">
        <v>1</v>
      </c>
      <c r="S36" s="83" t="s">
        <v>211</v>
      </c>
      <c r="T36" s="213" t="s">
        <v>212</v>
      </c>
      <c r="U36" s="68" t="str">
        <f t="shared" si="1"/>
        <v/>
      </c>
      <c r="V36" s="64"/>
      <c r="W36" s="64"/>
      <c r="X36" s="69" t="str">
        <f t="shared" ref="X36:X38" si="30">IF(AND(V36="Preventivo",W36="Automática"),"50%",IF(AND(V36="Preventivo",W36="Manual"),"40%",IF(AND(V36="Detectivo",W36="Automática"),"40%",IF(AND(V36="Detectivo",W36="Manual"),"30%",IF(AND(V36="Correctivo",W36="Automática"),"35%",IF(AND(V36="Correctivo",W36="Manual"),"25%",""))))))</f>
        <v/>
      </c>
      <c r="Y36" s="64"/>
      <c r="Z36" s="64"/>
      <c r="AA36" s="64"/>
      <c r="AB36" s="65" t="str">
        <f t="shared" ref="AB36:AB38" si="31">IFERROR(IF(U36="Probabilidad",(L36-(+L36*X36)),IF(U36="Impacto",L36,"")),"")</f>
        <v/>
      </c>
      <c r="AC36" s="70" t="str">
        <f t="shared" ref="AC36:AC38" si="32">IFERROR(IF(AB36="","",IF(AB36&lt;=0.2,"Muy Baja",IF(AB36&lt;=0.4,"Baja",IF(AB36&lt;=0.6,"Media",IF(AB36&lt;=0.8,"Alta","Muy Alta"))))),"")</f>
        <v/>
      </c>
      <c r="AD36" s="75" t="str">
        <f t="shared" ref="AD36:AD38" si="33">+AB36</f>
        <v/>
      </c>
      <c r="AE36" s="70" t="str">
        <f t="shared" ref="AE36:AE38" si="34">IFERROR(IF(AF36="","",IF(AF36&lt;=0.2,"Leve",IF(AF36&lt;=0.4,"Menor",IF(AF36&lt;=0.6,"Moderado",IF(AF36&lt;=0.8,"Mayor","Catastrófico"))))),"")</f>
        <v/>
      </c>
      <c r="AF36" s="69" t="str">
        <f t="shared" ref="AF36:AF38" si="35">IFERROR(IF(U36="Impacto",(P36-(+P36*X36)),IF(U36="Probabilidad",P36,"")),"")</f>
        <v/>
      </c>
      <c r="AG36" s="71" t="str">
        <f t="shared" ref="AG36:AG38" si="36">IFERROR(IF(OR(AND(AC36="Muy Baja",AE36="Leve"),AND(AC36="Muy Baja",AE36="Menor"),AND(AC36="Baja",AE36="Leve")),"Bajo",IF(OR(AND(AC36="Muy baja",AE36="Moderado"),AND(AC36="Baja",AE36="Menor"),AND(AC36="Baja",AE36="Moderado"),AND(AC36="Media",AE36="Leve"),AND(AC36="Media",AE36="Menor"),AND(AC36="Media",AE36="Moderado"),AND(AC36="Alta",AE36="Leve"),AND(AC36="Alta",AE36="Menor")),"Moderado",IF(OR(AND(AC36="Muy Baja",AE36="Mayor"),AND(AC36="Baja",AE36="Mayor"),AND(AC36="Media",AE36="Mayor"),AND(AC36="Alta",AE36="Moderado"),AND(AC36="Alta",AE36="Mayor"),AND(AC36="Muy Alta",AE36="Leve"),AND(AC36="Muy Alta",AE36="Menor"),AND(AC36="Muy Alta",AE36="Moderado"),AND(AC36="Muy Alta",AE36="Mayor")),"Alto",IF(OR(AND(AC36="Muy Baja",AE36="Catastrófico"),AND(AC36="Baja",AE36="Catastrófico"),AND(AC36="Media",AE36="Catastrófico"),AND(AC36="Alta",AE36="Catastrófico"),AND(AC36="Muy Alta",AE36="Catastrófico")),"Extremo","")))),"")</f>
        <v/>
      </c>
      <c r="AH36" s="64"/>
      <c r="AI36" s="161"/>
      <c r="AJ36" s="64"/>
    </row>
    <row r="37" spans="1:36" ht="159" customHeight="1">
      <c r="A37" s="217"/>
      <c r="B37" s="217"/>
      <c r="C37" s="220"/>
      <c r="D37" s="223"/>
      <c r="E37" s="223"/>
      <c r="F37" s="223"/>
      <c r="G37" s="220"/>
      <c r="H37" s="314"/>
      <c r="I37" s="314"/>
      <c r="J37" s="76">
        <v>243</v>
      </c>
      <c r="K37" s="86" t="str">
        <f t="shared" ref="K37:K38" si="37">IF(J37&lt;=0,"",IF(J37&lt;=2,"Muy Baja",IF(J37&lt;=24,"Baja",IF(J37&lt;=500,"Media",IF(J37&lt;=5000,"Alta","Muy Alta")))))</f>
        <v>Media</v>
      </c>
      <c r="L37" s="54">
        <f t="shared" ref="L37:L38" si="38">IF(K37="","",IF(K37="Muy Baja",0.2,IF(K37="Baja",0.4,IF(K37="Media",0.6,IF(K37="Alta",0.8,IF(K37="Muy Alta",1,))))))</f>
        <v>0.6</v>
      </c>
      <c r="M37" s="87" t="s">
        <v>110</v>
      </c>
      <c r="N37" s="89" t="str">
        <f>IF(NOT(ISERROR(MATCH(M37,'Validacion de datos'!$H$14:$H$16,0))),'Validacion de datos'!$J$16&amp;"Por favor no seleccionar los criterios de impacto(Afectación Económica o presupuestal y Pérdida Reputacional)",M37)</f>
        <v>El riesgo afecta la imagen de la entidad con algunos usuarios de relevancia frente al logro de los objetivos</v>
      </c>
      <c r="O37" s="86" t="str">
        <f>IF(OR(N37=IMPACTO!$C$3,N37=IMPACTO!$D$3),"Leve",IF(OR(N37=IMPACTO!$C$4,N37=IMPACTO!$D$4),"Menor",IF(OR(N37=IMPACTO!$C$5,N37=IMPACTO!$D$5),"Moderado",IF(OR(N37=IMPACTO!$C$6,N37=IMPACTO!$D$6),"Mayor",IF(OR(N37=IMPACTO!$C$7,N37=IMPACTO!$D$7),"Catastrófico","")))))</f>
        <v>Moderado</v>
      </c>
      <c r="P37" s="54">
        <f t="shared" ref="P37:P38" si="39">IF(O37="","",IF(O37="Leve",0.2,IF(O37="Menor",0.4,IF(O37="Moderado",0.6,IF(O37="Mayor",0.8,IF(O37="Catastrófico",1,))))))</f>
        <v>0.6</v>
      </c>
      <c r="Q37" s="90" t="str">
        <f t="shared" ref="Q37:Q38" si="40">IF(OR(AND(K37="Muy Baja",O37="Leve"),AND(K37="Muy Baja",O37="Menor"),AND(K37="Baja",O37="Leve")),"Bajo",IF(OR(AND(K37="Muy baja",O37="Moderado"),AND(K37="Baja",O37="Menor"),AND(K37="Baja",O37="Moderado"),AND(K37="Media",O37="Leve"),AND(K37="Media",O37="Menor"),AND(K37="Media",O37="Moderado"),AND(K37="Alta",O37="Leve"),AND(K37="Alta",O37="Menor")),"Moderado",IF(OR(AND(K37="Muy Baja",O37="Mayor"),AND(K37="Baja",O37="Mayor"),AND(K37="Media",O37="Mayor"),AND(K37="Alta",O37="Moderado"),AND(K37="Alta",O37="Mayor"),AND(K37="Muy Alta",O37="Leve"),AND(K37="Muy Alta",O37="Menor"),AND(K37="Muy Alta",O37="Moderado"),AND(K37="Muy Alta",O37="Mayor")),"Alto",IF(OR(AND(K37="Muy Baja",O37="Catastrófico"),AND(K37="Baja",O37="Catastrófico"),AND(K37="Media",O37="Catastrófico"),AND(K37="Alta",O37="Catastrófico"),AND(K37="Muy Alta",O37="Catastrófico")),"Extremo",""))))</f>
        <v>Moderado</v>
      </c>
      <c r="R37" s="39">
        <v>2</v>
      </c>
      <c r="S37" s="83" t="s">
        <v>213</v>
      </c>
      <c r="T37" s="214"/>
      <c r="U37" s="68" t="str">
        <f t="shared" si="1"/>
        <v/>
      </c>
      <c r="V37" s="64"/>
      <c r="W37" s="64"/>
      <c r="X37" s="69" t="str">
        <f t="shared" si="30"/>
        <v/>
      </c>
      <c r="Y37" s="64"/>
      <c r="Z37" s="64"/>
      <c r="AA37" s="64"/>
      <c r="AB37" s="84" t="str">
        <f t="shared" si="31"/>
        <v/>
      </c>
      <c r="AC37" s="70" t="str">
        <f t="shared" si="32"/>
        <v/>
      </c>
      <c r="AD37" s="75" t="str">
        <f t="shared" si="33"/>
        <v/>
      </c>
      <c r="AE37" s="70" t="str">
        <f t="shared" si="34"/>
        <v/>
      </c>
      <c r="AF37" s="69" t="str">
        <f t="shared" si="35"/>
        <v/>
      </c>
      <c r="AG37" s="71" t="str">
        <f t="shared" si="36"/>
        <v/>
      </c>
      <c r="AH37" s="64"/>
      <c r="AI37" s="161"/>
      <c r="AJ37" s="64"/>
    </row>
    <row r="38" spans="1:36" ht="162.6" customHeight="1">
      <c r="A38" s="218"/>
      <c r="B38" s="217"/>
      <c r="C38" s="220"/>
      <c r="D38" s="224"/>
      <c r="E38" s="224"/>
      <c r="F38" s="224"/>
      <c r="G38" s="221"/>
      <c r="H38" s="315"/>
      <c r="I38" s="315"/>
      <c r="J38" s="76">
        <v>243</v>
      </c>
      <c r="K38" s="86" t="str">
        <f t="shared" si="37"/>
        <v>Media</v>
      </c>
      <c r="L38" s="54">
        <f t="shared" si="38"/>
        <v>0.6</v>
      </c>
      <c r="M38" s="2" t="s">
        <v>110</v>
      </c>
      <c r="N38" s="89" t="str">
        <f>IF(NOT(ISERROR(MATCH(M38,'Validacion de datos'!$H$14:$H$16,0))),'Validacion de datos'!$J$16&amp;"Por favor no seleccionar los criterios de impacto(Afectación Económica o presupuestal y Pérdida Reputacional)",M38)</f>
        <v>El riesgo afecta la imagen de la entidad con algunos usuarios de relevancia frente al logro de los objetivos</v>
      </c>
      <c r="O38" s="86" t="str">
        <f>IF(OR(N38=IMPACTO!$C$3,N38=IMPACTO!$D$3),"Leve",IF(OR(N38=IMPACTO!$C$4,N38=IMPACTO!$D$4),"Menor",IF(OR(N38=IMPACTO!$C$5,N38=IMPACTO!$D$5),"Moderado",IF(OR(N38=IMPACTO!$C$6,N38=IMPACTO!$D$6),"Mayor",IF(OR(N38=IMPACTO!$C$7,N38=IMPACTO!$D$7),"Catastrófico","")))))</f>
        <v>Moderado</v>
      </c>
      <c r="P38" s="54">
        <f t="shared" si="39"/>
        <v>0.6</v>
      </c>
      <c r="Q38" s="90" t="str">
        <f t="shared" si="40"/>
        <v>Moderado</v>
      </c>
      <c r="R38" s="39">
        <v>3</v>
      </c>
      <c r="S38" s="83" t="s">
        <v>214</v>
      </c>
      <c r="T38" s="215"/>
      <c r="U38" s="68" t="str">
        <f t="shared" si="1"/>
        <v/>
      </c>
      <c r="V38" s="64"/>
      <c r="W38" s="64"/>
      <c r="X38" s="69" t="str">
        <f t="shared" si="30"/>
        <v/>
      </c>
      <c r="Y38" s="64"/>
      <c r="Z38" s="64"/>
      <c r="AA38" s="64"/>
      <c r="AB38" s="84" t="str">
        <f t="shared" si="31"/>
        <v/>
      </c>
      <c r="AC38" s="70" t="str">
        <f t="shared" si="32"/>
        <v/>
      </c>
      <c r="AD38" s="75" t="str">
        <f t="shared" si="33"/>
        <v/>
      </c>
      <c r="AE38" s="70" t="str">
        <f t="shared" si="34"/>
        <v/>
      </c>
      <c r="AF38" s="69" t="str">
        <f t="shared" si="35"/>
        <v/>
      </c>
      <c r="AG38" s="71" t="str">
        <f t="shared" si="36"/>
        <v/>
      </c>
      <c r="AH38" s="64"/>
      <c r="AI38" s="161"/>
      <c r="AJ38" s="64"/>
    </row>
    <row r="39" spans="1:36" ht="111" customHeight="1">
      <c r="A39" s="1">
        <v>21</v>
      </c>
      <c r="B39" s="217"/>
      <c r="C39" s="220"/>
      <c r="D39" s="7"/>
      <c r="E39" s="7" t="s">
        <v>142</v>
      </c>
      <c r="F39" s="7" t="s">
        <v>129</v>
      </c>
      <c r="G39" s="19" t="s">
        <v>215</v>
      </c>
      <c r="H39" s="40" t="s">
        <v>216</v>
      </c>
      <c r="I39" s="2" t="s">
        <v>217</v>
      </c>
      <c r="J39" s="4">
        <v>500</v>
      </c>
      <c r="K39" s="52" t="str">
        <f t="shared" si="9"/>
        <v>Media</v>
      </c>
      <c r="L39" s="54">
        <f t="shared" si="0"/>
        <v>0.6</v>
      </c>
      <c r="M39" s="55" t="s">
        <v>110</v>
      </c>
      <c r="N39" s="53" t="str">
        <f>IF(NOT(ISERROR(MATCH(M39,'Validacion de datos'!$H$14:$H$16,0))),'Validacion de datos'!$J$16&amp;"Por favor no seleccionar los criterios de impacto(Afectación Económica o presupuestal y Pérdida Reputacional)",M39)</f>
        <v>El riesgo afecta la imagen de la entidad con algunos usuarios de relevancia frente al logro de los objetivos</v>
      </c>
      <c r="O39" s="52" t="str">
        <f>IF(OR(N39=IMPACTO!$C$3,N39=IMPACTO!$D$3),"Leve",IF(OR(N39=IMPACTO!$C$4,N39=IMPACTO!$D$4),"Menor",IF(OR(N39=IMPACTO!$C$5,N39=IMPACTO!$D$5),"Moderado",IF(OR(N39=IMPACTO!$C$6,N39=IMPACTO!$D$6),"Mayor",IF(OR(N39=IMPACTO!$C$7,N39=IMPACTO!$D$7),"Catastrófico","")))))</f>
        <v>Moderado</v>
      </c>
      <c r="P39" s="54">
        <f t="shared" si="10"/>
        <v>0.6</v>
      </c>
      <c r="Q39" s="78" t="str">
        <f t="shared" si="17"/>
        <v>Moderado</v>
      </c>
      <c r="R39" s="39">
        <v>1</v>
      </c>
      <c r="S39" s="40" t="s">
        <v>218</v>
      </c>
      <c r="T39" s="4" t="s">
        <v>212</v>
      </c>
      <c r="U39" s="68" t="str">
        <f t="shared" si="1"/>
        <v/>
      </c>
      <c r="V39" s="64"/>
      <c r="W39" s="64"/>
      <c r="X39" s="69" t="str">
        <f t="shared" si="12"/>
        <v/>
      </c>
      <c r="Y39" s="64"/>
      <c r="Z39" s="64"/>
      <c r="AA39" s="64"/>
      <c r="AB39" s="65" t="str">
        <f t="shared" si="13"/>
        <v/>
      </c>
      <c r="AC39" s="70" t="str">
        <f t="shared" si="4"/>
        <v/>
      </c>
      <c r="AD39" s="75" t="str">
        <f t="shared" si="14"/>
        <v/>
      </c>
      <c r="AE39" s="70" t="str">
        <f t="shared" si="6"/>
        <v/>
      </c>
      <c r="AF39" s="69" t="str">
        <f t="shared" si="15"/>
        <v/>
      </c>
      <c r="AG39" s="71" t="str">
        <f t="shared" si="16"/>
        <v/>
      </c>
      <c r="AH39" s="64"/>
      <c r="AI39" s="161"/>
      <c r="AJ39" s="64"/>
    </row>
    <row r="40" spans="1:36" ht="143.44999999999999" customHeight="1">
      <c r="A40" s="1">
        <v>22</v>
      </c>
      <c r="B40" s="218"/>
      <c r="C40" s="221"/>
      <c r="D40" s="7" t="s">
        <v>106</v>
      </c>
      <c r="E40" s="7" t="s">
        <v>142</v>
      </c>
      <c r="F40" s="7" t="s">
        <v>129</v>
      </c>
      <c r="G40" s="19" t="s">
        <v>219</v>
      </c>
      <c r="H40" s="40" t="s">
        <v>220</v>
      </c>
      <c r="I40" s="2" t="s">
        <v>221</v>
      </c>
      <c r="J40" s="4">
        <v>24</v>
      </c>
      <c r="K40" s="52" t="str">
        <f t="shared" si="9"/>
        <v>Baja</v>
      </c>
      <c r="L40" s="54">
        <f t="shared" si="0"/>
        <v>0.4</v>
      </c>
      <c r="M40" s="55" t="s">
        <v>117</v>
      </c>
      <c r="N40" s="53" t="str">
        <f>IF(NOT(ISERROR(MATCH(M40,'Validacion de datos'!$H$14:$H$16,0))),'Validacion de datos'!$J$16&amp;"Por favor no seleccionar los criterios de impacto(Afectación Económica o presupuestal y Pérdida Reputacional)",M40)</f>
        <v>El riesgo afecta la imagen de de la entidad con efecto publicitario sostenido a nivel de sector administrativo, nivel departamental o municipal</v>
      </c>
      <c r="O40" s="52" t="str">
        <f>IF(OR(N40=IMPACTO!$C$3,N40=IMPACTO!$D$3),"Leve",IF(OR(N40=IMPACTO!$C$4,N40=IMPACTO!$D$4),"Menor",IF(OR(N40=IMPACTO!$C$5,N40=IMPACTO!$D$5),"Moderado",IF(OR(N40=IMPACTO!$C$6,N40=IMPACTO!$D$6),"Mayor",IF(OR(N40=IMPACTO!$C$7,N40=IMPACTO!$D$7),"Catastrófico","")))))</f>
        <v>Mayor</v>
      </c>
      <c r="P40" s="54">
        <f t="shared" si="10"/>
        <v>0.8</v>
      </c>
      <c r="Q40" s="78" t="str">
        <f t="shared" si="17"/>
        <v>Alto</v>
      </c>
      <c r="R40" s="39">
        <v>1</v>
      </c>
      <c r="S40" s="83" t="s">
        <v>222</v>
      </c>
      <c r="T40" s="4" t="s">
        <v>212</v>
      </c>
      <c r="U40" s="68" t="str">
        <f t="shared" si="1"/>
        <v/>
      </c>
      <c r="V40" s="64"/>
      <c r="W40" s="64"/>
      <c r="X40" s="69" t="str">
        <f t="shared" si="12"/>
        <v/>
      </c>
      <c r="Y40" s="64"/>
      <c r="Z40" s="64"/>
      <c r="AA40" s="64"/>
      <c r="AB40" s="65" t="str">
        <f t="shared" si="13"/>
        <v/>
      </c>
      <c r="AC40" s="70" t="str">
        <f t="shared" si="4"/>
        <v/>
      </c>
      <c r="AD40" s="75" t="str">
        <f t="shared" si="14"/>
        <v/>
      </c>
      <c r="AE40" s="70" t="str">
        <f t="shared" si="6"/>
        <v/>
      </c>
      <c r="AF40" s="69" t="str">
        <f t="shared" si="15"/>
        <v/>
      </c>
      <c r="AG40" s="71" t="str">
        <f t="shared" si="16"/>
        <v/>
      </c>
      <c r="AH40" s="64"/>
      <c r="AI40" s="161"/>
      <c r="AJ40" s="64"/>
    </row>
    <row r="41" spans="1:36" ht="143.44999999999999" customHeight="1">
      <c r="A41" s="217">
        <v>23</v>
      </c>
      <c r="B41" s="217" t="s">
        <v>223</v>
      </c>
      <c r="C41" s="220" t="str">
        <f>+IFERROR(VLOOKUP(B41,'Validacion de datos'!A:B,2,0),"")</f>
        <v>Acompañar a través de estrategias socioculturales a los entes territoriales del Departamento, a las familias antioqueñas beneficiarias de los proyectos en los que participa la Empresa de Vivienda de Antioquia –VIVA-, promoviendo el empoderamiento de las comunidades, la participación y el desarrollo de capacidades para lograr viviendas dignas, sostenibles y el mejoramiento de la calidad de vida.</v>
      </c>
      <c r="D41" s="226" t="s">
        <v>106</v>
      </c>
      <c r="E41" s="226"/>
      <c r="F41" s="226" t="s">
        <v>94</v>
      </c>
      <c r="G41" s="220" t="s">
        <v>224</v>
      </c>
      <c r="H41" s="214" t="s">
        <v>225</v>
      </c>
      <c r="I41" s="214" t="s">
        <v>226</v>
      </c>
      <c r="J41" s="55">
        <v>96</v>
      </c>
      <c r="K41" s="175" t="str">
        <f t="shared" si="9"/>
        <v>Media</v>
      </c>
      <c r="L41" s="176">
        <f t="shared" si="0"/>
        <v>0.6</v>
      </c>
      <c r="M41" s="55" t="s">
        <v>110</v>
      </c>
      <c r="N41" s="177" t="str">
        <f>IF(NOT(ISERROR(MATCH(M41,'Validacion de datos'!$H$14:$H$16,0))),'Validacion de datos'!$J$16&amp;"Por favor no seleccionar los criterios de impacto(Afectación Económica o presupuestal y Pérdida Reputacional)",M41)</f>
        <v>El riesgo afecta la imagen de la entidad con algunos usuarios de relevancia frente al logro de los objetivos</v>
      </c>
      <c r="O41" s="175" t="str">
        <f>IF(OR(N41=IMPACTO!$C$3,N41=IMPACTO!$D$3),"Leve",IF(OR(N41=IMPACTO!$C$4,N41=IMPACTO!$D$4),"Menor",IF(OR(N41=IMPACTO!$C$5,N41=IMPACTO!$D$5),"Moderado",IF(OR(N41=IMPACTO!$C$6,N41=IMPACTO!$D$6),"Mayor",IF(OR(N41=IMPACTO!$C$7,N41=IMPACTO!$D$7),"Catastrófico","")))))</f>
        <v>Moderado</v>
      </c>
      <c r="P41" s="176">
        <f t="shared" si="10"/>
        <v>0.6</v>
      </c>
      <c r="Q41" s="178" t="str">
        <f t="shared" si="17"/>
        <v>Moderado</v>
      </c>
      <c r="R41" s="74">
        <v>1</v>
      </c>
      <c r="S41" s="179" t="s">
        <v>227</v>
      </c>
      <c r="T41" s="214" t="s">
        <v>228</v>
      </c>
      <c r="U41" s="180" t="str">
        <f t="shared" si="1"/>
        <v/>
      </c>
      <c r="V41" s="181"/>
      <c r="W41" s="181"/>
      <c r="X41" s="167" t="str">
        <f t="shared" si="12"/>
        <v/>
      </c>
      <c r="Y41" s="181"/>
      <c r="Z41" s="181"/>
      <c r="AA41" s="181"/>
      <c r="AB41" s="164" t="str">
        <f t="shared" si="13"/>
        <v/>
      </c>
      <c r="AC41" s="165" t="str">
        <f t="shared" si="4"/>
        <v/>
      </c>
      <c r="AD41" s="166" t="str">
        <f t="shared" si="14"/>
        <v/>
      </c>
      <c r="AE41" s="165" t="str">
        <f t="shared" si="6"/>
        <v/>
      </c>
      <c r="AF41" s="167" t="str">
        <f t="shared" si="15"/>
        <v/>
      </c>
      <c r="AG41" s="168" t="str">
        <f t="shared" si="16"/>
        <v/>
      </c>
      <c r="AH41" s="181"/>
      <c r="AI41" s="169"/>
      <c r="AJ41" s="181"/>
    </row>
    <row r="42" spans="1:36" ht="141" customHeight="1">
      <c r="A42" s="218"/>
      <c r="B42" s="217"/>
      <c r="C42" s="220"/>
      <c r="D42" s="227"/>
      <c r="E42" s="227"/>
      <c r="F42" s="227"/>
      <c r="G42" s="221"/>
      <c r="H42" s="215"/>
      <c r="I42" s="215"/>
      <c r="J42" s="4">
        <v>96</v>
      </c>
      <c r="K42" s="52" t="str">
        <f t="shared" si="9"/>
        <v>Media</v>
      </c>
      <c r="L42" s="54">
        <f t="shared" si="0"/>
        <v>0.6</v>
      </c>
      <c r="M42" s="55" t="s">
        <v>110</v>
      </c>
      <c r="N42" s="53" t="str">
        <f>IF(NOT(ISERROR(MATCH(M42,'Validacion de datos'!$H$14:$H$16,0))),'Validacion de datos'!$J$16&amp;"Por favor no seleccionar los criterios de impacto(Afectación Económica o presupuestal y Pérdida Reputacional)",M42)</f>
        <v>El riesgo afecta la imagen de la entidad con algunos usuarios de relevancia frente al logro de los objetivos</v>
      </c>
      <c r="O42" s="52" t="str">
        <f>IF(OR(N42=IMPACTO!$C$3,N42=IMPACTO!$D$3),"Leve",IF(OR(N42=IMPACTO!$C$4,N42=IMPACTO!$D$4),"Menor",IF(OR(N42=IMPACTO!$C$5,N42=IMPACTO!$D$5),"Moderado",IF(OR(N42=IMPACTO!$C$6,N42=IMPACTO!$D$6),"Mayor",IF(OR(N42=IMPACTO!$C$7,N42=IMPACTO!$D$7),"Catastrófico","")))))</f>
        <v>Moderado</v>
      </c>
      <c r="P42" s="54">
        <f t="shared" si="10"/>
        <v>0.6</v>
      </c>
      <c r="Q42" s="78" t="str">
        <f t="shared" si="17"/>
        <v>Moderado</v>
      </c>
      <c r="R42" s="39">
        <v>2</v>
      </c>
      <c r="S42" s="83" t="s">
        <v>229</v>
      </c>
      <c r="T42" s="215"/>
      <c r="U42" s="68" t="str">
        <f t="shared" si="1"/>
        <v/>
      </c>
      <c r="V42" s="64"/>
      <c r="W42" s="64"/>
      <c r="X42" s="69" t="str">
        <f t="shared" si="12"/>
        <v/>
      </c>
      <c r="Y42" s="64"/>
      <c r="Z42" s="64"/>
      <c r="AA42" s="64"/>
      <c r="AB42" s="65" t="str">
        <f t="shared" si="13"/>
        <v/>
      </c>
      <c r="AC42" s="70" t="str">
        <f t="shared" si="4"/>
        <v/>
      </c>
      <c r="AD42" s="75" t="str">
        <f t="shared" si="14"/>
        <v/>
      </c>
      <c r="AE42" s="70" t="str">
        <f t="shared" si="6"/>
        <v/>
      </c>
      <c r="AF42" s="69" t="str">
        <f t="shared" si="15"/>
        <v/>
      </c>
      <c r="AG42" s="71" t="str">
        <f t="shared" si="16"/>
        <v/>
      </c>
      <c r="AH42" s="64"/>
      <c r="AI42" s="161"/>
      <c r="AJ42" s="64"/>
    </row>
    <row r="43" spans="1:36" ht="159.94999999999999" customHeight="1">
      <c r="A43" s="1">
        <v>24</v>
      </c>
      <c r="B43" s="218"/>
      <c r="C43" s="221"/>
      <c r="D43" s="7" t="s">
        <v>113</v>
      </c>
      <c r="E43" s="7"/>
      <c r="F43" s="7" t="s">
        <v>94</v>
      </c>
      <c r="G43" s="19" t="s">
        <v>230</v>
      </c>
      <c r="H43" s="40" t="s">
        <v>231</v>
      </c>
      <c r="I43" s="2" t="s">
        <v>232</v>
      </c>
      <c r="J43" s="4">
        <v>52</v>
      </c>
      <c r="K43" s="52" t="str">
        <f t="shared" si="9"/>
        <v>Media</v>
      </c>
      <c r="L43" s="54">
        <f t="shared" si="0"/>
        <v>0.6</v>
      </c>
      <c r="M43" s="55" t="s">
        <v>110</v>
      </c>
      <c r="N43" s="53" t="str">
        <f>IF(NOT(ISERROR(MATCH(M43,'Validacion de datos'!$H$14:$H$16,0))),'Validacion de datos'!$J$16&amp;"Por favor no seleccionar los criterios de impacto(Afectación Económica o presupuestal y Pérdida Reputacional)",M43)</f>
        <v>El riesgo afecta la imagen de la entidad con algunos usuarios de relevancia frente al logro de los objetivos</v>
      </c>
      <c r="O43" s="52" t="str">
        <f>IF(OR(N43=IMPACTO!$C$3,N43=IMPACTO!$D$3),"Leve",IF(OR(N43=IMPACTO!$C$4,N43=IMPACTO!$D$4),"Menor",IF(OR(N43=IMPACTO!$C$5,N43=IMPACTO!$D$5),"Moderado",IF(OR(N43=IMPACTO!$C$6,N43=IMPACTO!$D$6),"Mayor",IF(OR(N43=IMPACTO!$C$7,N43=IMPACTO!$D$7),"Catastrófico","")))))</f>
        <v>Moderado</v>
      </c>
      <c r="P43" s="54">
        <f t="shared" si="10"/>
        <v>0.6</v>
      </c>
      <c r="Q43" s="78" t="str">
        <f t="shared" si="17"/>
        <v>Moderado</v>
      </c>
      <c r="R43" s="39">
        <v>1</v>
      </c>
      <c r="S43" s="83" t="s">
        <v>233</v>
      </c>
      <c r="T43" s="4" t="s">
        <v>228</v>
      </c>
      <c r="U43" s="68" t="str">
        <f t="shared" si="1"/>
        <v/>
      </c>
      <c r="V43" s="64"/>
      <c r="W43" s="64"/>
      <c r="X43" s="69" t="str">
        <f t="shared" si="12"/>
        <v/>
      </c>
      <c r="Y43" s="64"/>
      <c r="Z43" s="64"/>
      <c r="AA43" s="64"/>
      <c r="AB43" s="65" t="str">
        <f t="shared" si="13"/>
        <v/>
      </c>
      <c r="AC43" s="70" t="str">
        <f t="shared" si="4"/>
        <v/>
      </c>
      <c r="AD43" s="75" t="str">
        <f t="shared" si="14"/>
        <v/>
      </c>
      <c r="AE43" s="70" t="str">
        <f t="shared" si="6"/>
        <v/>
      </c>
      <c r="AF43" s="69" t="str">
        <f t="shared" si="15"/>
        <v/>
      </c>
      <c r="AG43" s="71" t="str">
        <f t="shared" si="16"/>
        <v/>
      </c>
      <c r="AH43" s="64"/>
      <c r="AI43" s="161"/>
      <c r="AJ43" s="64"/>
    </row>
    <row r="44" spans="1:36" ht="171" customHeight="1">
      <c r="A44" s="205">
        <v>25</v>
      </c>
      <c r="B44" s="216" t="s">
        <v>234</v>
      </c>
      <c r="C44" s="219" t="str">
        <f>+IFERROR(VLOOKUP(B44,'Validacion de datos'!A:B,2,0),"")</f>
        <v>Asesorar y acompañar a los municipios y las dependencias de la organización en la gestión de titulación, legalización de predios, estudio de titulo para mejoramientos de vivienda, escrituración de vivienda nueva y crédito rotatorio de vivienda, y el saneamiento predial.</v>
      </c>
      <c r="D44" s="225" t="s">
        <v>106</v>
      </c>
      <c r="E44" s="225" t="s">
        <v>142</v>
      </c>
      <c r="F44" s="225" t="s">
        <v>94</v>
      </c>
      <c r="G44" s="316" t="s">
        <v>235</v>
      </c>
      <c r="H44" s="187" t="s">
        <v>236</v>
      </c>
      <c r="I44" s="187" t="s">
        <v>237</v>
      </c>
      <c r="J44" s="4">
        <v>12257</v>
      </c>
      <c r="K44" s="52" t="str">
        <f t="shared" si="9"/>
        <v>Muy Alta</v>
      </c>
      <c r="L44" s="54">
        <f t="shared" si="0"/>
        <v>1</v>
      </c>
      <c r="M44" s="55" t="s">
        <v>110</v>
      </c>
      <c r="N44" s="53" t="str">
        <f>IF(NOT(ISERROR(MATCH(M44,'Validacion de datos'!$H$14:$H$16,0))),'Validacion de datos'!$J$16&amp;"Por favor no seleccionar los criterios de impacto(Afectación Económica o presupuestal y Pérdida Reputacional)",M44)</f>
        <v>El riesgo afecta la imagen de la entidad con algunos usuarios de relevancia frente al logro de los objetivos</v>
      </c>
      <c r="O44" s="52" t="str">
        <f>IF(OR(N44=IMPACTO!$C$3,N44=IMPACTO!$D$3),"Leve",IF(OR(N44=IMPACTO!$C$4,N44=IMPACTO!$D$4),"Menor",IF(OR(N44=IMPACTO!$C$5,N44=IMPACTO!$D$5),"Moderado",IF(OR(N44=IMPACTO!$C$6,N44=IMPACTO!$D$6),"Mayor",IF(OR(N44=IMPACTO!$C$7,N44=IMPACTO!$D$7),"Catastrófico","")))))</f>
        <v>Moderado</v>
      </c>
      <c r="P44" s="54">
        <f t="shared" ref="P44:P45" si="41">IF(O44="","",IF(O44="Leve",0.2,IF(O44="Menor",0.4,IF(O44="Moderado",0.6,IF(O44="Mayor",0.8,IF(O44="Catastrófico",1,))))))</f>
        <v>0.6</v>
      </c>
      <c r="Q44" s="78" t="str">
        <f t="shared" ref="Q44:Q45" si="42">IF(OR(AND(K44="Muy Baja",O44="Leve"),AND(K44="Muy Baja",O44="Menor"),AND(K44="Baja",O44="Leve")),"Bajo",IF(OR(AND(K44="Muy baja",O44="Moderado"),AND(K44="Baja",O44="Menor"),AND(K44="Baja",O44="Moderado"),AND(K44="Media",O44="Leve"),AND(K44="Media",O44="Menor"),AND(K44="Media",O44="Moderado"),AND(K44="Alta",O44="Leve"),AND(K44="Alta",O44="Menor")),"Moderado",IF(OR(AND(K44="Muy Baja",O44="Mayor"),AND(K44="Baja",O44="Mayor"),AND(K44="Media",O44="Mayor"),AND(K44="Alta",O44="Moderado"),AND(K44="Alta",O44="Mayor"),AND(K44="Muy Alta",O44="Leve"),AND(K44="Muy Alta",O44="Menor"),AND(K44="Muy Alta",O44="Moderado"),AND(K44="Muy Alta",O44="Mayor")),"Alto",IF(OR(AND(K44="Muy Baja",O44="Catastrófico"),AND(K44="Baja",O44="Catastrófico"),AND(K44="Media",O44="Catastrófico"),AND(K44="Alta",O44="Catastrófico"),AND(K44="Muy Alta",O44="Catastrófico")),"Extremo",""))))</f>
        <v>Alto</v>
      </c>
      <c r="R44" s="39">
        <v>1</v>
      </c>
      <c r="S44" s="83" t="s">
        <v>238</v>
      </c>
      <c r="T44" s="187" t="s">
        <v>239</v>
      </c>
      <c r="U44" s="68" t="str">
        <f t="shared" si="1"/>
        <v/>
      </c>
      <c r="V44" s="64"/>
      <c r="W44" s="64"/>
      <c r="X44" s="69" t="str">
        <f t="shared" ref="X44" si="43">IF(AND(V44="Preventivo",W44="Automática"),"50%",IF(AND(V44="Preventivo",W44="Manual"),"40%",IF(AND(V44="Detectivo",W44="Automática"),"40%",IF(AND(V44="Detectivo",W44="Manual"),"30%",IF(AND(V44="Correctivo",W44="Automática"),"35%",IF(AND(V44="Correctivo",W44="Manual"),"25%",""))))))</f>
        <v/>
      </c>
      <c r="Y44" s="64"/>
      <c r="Z44" s="64"/>
      <c r="AA44" s="64"/>
      <c r="AB44" s="65" t="str">
        <f t="shared" ref="AB44" si="44">IFERROR(IF(U44="Probabilidad",(L44-(+L44*X44)),IF(U44="Impacto",L44,"")),"")</f>
        <v/>
      </c>
      <c r="AC44" s="70" t="str">
        <f t="shared" ref="AC44" si="45">IFERROR(IF(AB44="","",IF(AB44&lt;=0.2,"Muy Baja",IF(AB44&lt;=0.4,"Baja",IF(AB44&lt;=0.6,"Media",IF(AB44&lt;=0.8,"Alta","Muy Alta"))))),"")</f>
        <v/>
      </c>
      <c r="AD44" s="75" t="str">
        <f t="shared" ref="AD44" si="46">+AB44</f>
        <v/>
      </c>
      <c r="AE44" s="70" t="str">
        <f t="shared" ref="AE44" si="47">IFERROR(IF(AF44="","",IF(AF44&lt;=0.2,"Leve",IF(AF44&lt;=0.4,"Menor",IF(AF44&lt;=0.6,"Moderado",IF(AF44&lt;=0.8,"Mayor","Catastrófico"))))),"")</f>
        <v/>
      </c>
      <c r="AF44" s="69" t="str">
        <f t="shared" ref="AF44" si="48">IFERROR(IF(U44="Impacto",(P44-(+P44*X44)),IF(U44="Probabilidad",P44,"")),"")</f>
        <v/>
      </c>
      <c r="AG44" s="71" t="str">
        <f t="shared" ref="AG44" si="49">IFERROR(IF(OR(AND(AC44="Muy Baja",AE44="Leve"),AND(AC44="Muy Baja",AE44="Menor"),AND(AC44="Baja",AE44="Leve")),"Bajo",IF(OR(AND(AC44="Muy baja",AE44="Moderado"),AND(AC44="Baja",AE44="Menor"),AND(AC44="Baja",AE44="Moderado"),AND(AC44="Media",AE44="Leve"),AND(AC44="Media",AE44="Menor"),AND(AC44="Media",AE44="Moderado"),AND(AC44="Alta",AE44="Leve"),AND(AC44="Alta",AE44="Menor")),"Moderado",IF(OR(AND(AC44="Muy Baja",AE44="Mayor"),AND(AC44="Baja",AE44="Mayor"),AND(AC44="Media",AE44="Mayor"),AND(AC44="Alta",AE44="Moderado"),AND(AC44="Alta",AE44="Mayor"),AND(AC44="Muy Alta",AE44="Leve"),AND(AC44="Muy Alta",AE44="Menor"),AND(AC44="Muy Alta",AE44="Moderado"),AND(AC44="Muy Alta",AE44="Mayor")),"Alto",IF(OR(AND(AC44="Muy Baja",AE44="Catastrófico"),AND(AC44="Baja",AE44="Catastrófico"),AND(AC44="Media",AE44="Catastrófico"),AND(AC44="Alta",AE44="Catastrófico"),AND(AC44="Muy Alta",AE44="Catastrófico")),"Extremo","")))),"")</f>
        <v/>
      </c>
      <c r="AH44" s="64"/>
      <c r="AI44" s="161"/>
      <c r="AJ44" s="64"/>
    </row>
    <row r="45" spans="1:36" ht="171" customHeight="1">
      <c r="A45" s="205"/>
      <c r="B45" s="217"/>
      <c r="C45" s="220"/>
      <c r="D45" s="226"/>
      <c r="E45" s="226"/>
      <c r="F45" s="226"/>
      <c r="G45" s="316"/>
      <c r="H45" s="187"/>
      <c r="I45" s="187"/>
      <c r="J45" s="4">
        <v>12257</v>
      </c>
      <c r="K45" s="52" t="str">
        <f t="shared" ref="K45" si="50">IF(J45&lt;=0,"",IF(J45&lt;=2,"Muy Baja",IF(J45&lt;=24,"Baja",IF(J45&lt;=500,"Media",IF(J45&lt;=5000,"Alta","Muy Alta")))))</f>
        <v>Muy Alta</v>
      </c>
      <c r="L45" s="54">
        <f t="shared" ref="L45" si="51">IF(K45="","",IF(K45="Muy Baja",0.2,IF(K45="Baja",0.4,IF(K45="Media",0.6,IF(K45="Alta",0.8,IF(K45="Muy Alta",1,))))))</f>
        <v>1</v>
      </c>
      <c r="M45" s="55" t="s">
        <v>110</v>
      </c>
      <c r="N45" s="53" t="str">
        <f>IF(NOT(ISERROR(MATCH(M45,'Validacion de datos'!$H$14:$H$16,0))),'Validacion de datos'!$J$16&amp;"Por favor no seleccionar los criterios de impacto(Afectación Económica o presupuestal y Pérdida Reputacional)",M45)</f>
        <v>El riesgo afecta la imagen de la entidad con algunos usuarios de relevancia frente al logro de los objetivos</v>
      </c>
      <c r="O45" s="52" t="str">
        <f>IF(OR(N45=IMPACTO!$C$3,N45=IMPACTO!$D$3),"Leve",IF(OR(N45=IMPACTO!$C$4,N45=IMPACTO!$D$4),"Menor",IF(OR(N45=IMPACTO!$C$5,N45=IMPACTO!$D$5),"Moderado",IF(OR(N45=IMPACTO!$C$6,N45=IMPACTO!$D$6),"Mayor",IF(OR(N45=IMPACTO!$C$7,N45=IMPACTO!$D$7),"Catastrófico","")))))</f>
        <v>Moderado</v>
      </c>
      <c r="P45" s="54">
        <f t="shared" si="41"/>
        <v>0.6</v>
      </c>
      <c r="Q45" s="78" t="str">
        <f t="shared" si="42"/>
        <v>Alto</v>
      </c>
      <c r="R45" s="39">
        <v>2</v>
      </c>
      <c r="S45" s="83" t="s">
        <v>240</v>
      </c>
      <c r="T45" s="187"/>
      <c r="U45" s="68" t="str">
        <f t="shared" si="1"/>
        <v/>
      </c>
      <c r="V45" s="64"/>
      <c r="W45" s="64"/>
      <c r="X45" s="69" t="str">
        <f t="shared" ref="X45:X47" si="52">IF(AND(V45="Preventivo",W45="Automática"),"50%",IF(AND(V45="Preventivo",W45="Manual"),"40%",IF(AND(V45="Detectivo",W45="Automática"),"40%",IF(AND(V45="Detectivo",W45="Manual"),"30%",IF(AND(V45="Correctivo",W45="Automática"),"35%",IF(AND(V45="Correctivo",W45="Manual"),"25%",""))))))</f>
        <v/>
      </c>
      <c r="Y45" s="64"/>
      <c r="Z45" s="64"/>
      <c r="AA45" s="64"/>
      <c r="AB45" s="65" t="str">
        <f t="shared" ref="AB45:AB47" si="53">IFERROR(IF(U45="Probabilidad",(L45-(+L45*X45)),IF(U45="Impacto",L45,"")),"")</f>
        <v/>
      </c>
      <c r="AC45" s="70" t="str">
        <f t="shared" ref="AC45:AC47" si="54">IFERROR(IF(AB45="","",IF(AB45&lt;=0.2,"Muy Baja",IF(AB45&lt;=0.4,"Baja",IF(AB45&lt;=0.6,"Media",IF(AB45&lt;=0.8,"Alta","Muy Alta"))))),"")</f>
        <v/>
      </c>
      <c r="AD45" s="75" t="str">
        <f t="shared" ref="AD45:AD47" si="55">+AB45</f>
        <v/>
      </c>
      <c r="AE45" s="70" t="str">
        <f t="shared" ref="AE45:AE47" si="56">IFERROR(IF(AF45="","",IF(AF45&lt;=0.2,"Leve",IF(AF45&lt;=0.4,"Menor",IF(AF45&lt;=0.6,"Moderado",IF(AF45&lt;=0.8,"Mayor","Catastrófico"))))),"")</f>
        <v/>
      </c>
      <c r="AF45" s="69" t="str">
        <f t="shared" ref="AF45:AF47" si="57">IFERROR(IF(U45="Impacto",(P45-(+P45*X45)),IF(U45="Probabilidad",P45,"")),"")</f>
        <v/>
      </c>
      <c r="AG45" s="71" t="str">
        <f t="shared" ref="AG45:AG47" si="58">IFERROR(IF(OR(AND(AC45="Muy Baja",AE45="Leve"),AND(AC45="Muy Baja",AE45="Menor"),AND(AC45="Baja",AE45="Leve")),"Bajo",IF(OR(AND(AC45="Muy baja",AE45="Moderado"),AND(AC45="Baja",AE45="Menor"),AND(AC45="Baja",AE45="Moderado"),AND(AC45="Media",AE45="Leve"),AND(AC45="Media",AE45="Menor"),AND(AC45="Media",AE45="Moderado"),AND(AC45="Alta",AE45="Leve"),AND(AC45="Alta",AE45="Menor")),"Moderado",IF(OR(AND(AC45="Muy Baja",AE45="Mayor"),AND(AC45="Baja",AE45="Mayor"),AND(AC45="Media",AE45="Mayor"),AND(AC45="Alta",AE45="Moderado"),AND(AC45="Alta",AE45="Mayor"),AND(AC45="Muy Alta",AE45="Leve"),AND(AC45="Muy Alta",AE45="Menor"),AND(AC45="Muy Alta",AE45="Moderado"),AND(AC45="Muy Alta",AE45="Mayor")),"Alto",IF(OR(AND(AC45="Muy Baja",AE45="Catastrófico"),AND(AC45="Baja",AE45="Catastrófico"),AND(AC45="Media",AE45="Catastrófico"),AND(AC45="Alta",AE45="Catastrófico"),AND(AC45="Muy Alta",AE45="Catastrófico")),"Extremo","")))),"")</f>
        <v/>
      </c>
      <c r="AH45" s="64"/>
      <c r="AI45" s="161"/>
      <c r="AJ45" s="64"/>
    </row>
    <row r="46" spans="1:36" ht="171" customHeight="1">
      <c r="A46" s="205">
        <v>26</v>
      </c>
      <c r="B46" s="217"/>
      <c r="C46" s="220"/>
      <c r="D46" s="226"/>
      <c r="E46" s="226"/>
      <c r="F46" s="226"/>
      <c r="G46" s="242" t="s">
        <v>241</v>
      </c>
      <c r="H46" s="242" t="s">
        <v>242</v>
      </c>
      <c r="I46" s="242" t="s">
        <v>243</v>
      </c>
      <c r="J46" s="4">
        <v>12257</v>
      </c>
      <c r="K46" s="52" t="str">
        <f t="shared" ref="K46:K47" si="59">IF(J46&lt;=0,"",IF(J46&lt;=2,"Muy Baja",IF(J46&lt;=24,"Baja",IF(J46&lt;=500,"Media",IF(J46&lt;=5000,"Alta","Muy Alta")))))</f>
        <v>Muy Alta</v>
      </c>
      <c r="L46" s="54">
        <f t="shared" ref="L46:L47" si="60">IF(K46="","",IF(K46="Muy Baja",0.2,IF(K46="Baja",0.4,IF(K46="Media",0.6,IF(K46="Alta",0.8,IF(K46="Muy Alta",1,))))))</f>
        <v>1</v>
      </c>
      <c r="M46" s="55" t="s">
        <v>110</v>
      </c>
      <c r="N46" s="53" t="str">
        <f>IF(NOT(ISERROR(MATCH(M46,'Validacion de datos'!$H$14:$H$16,0))),'Validacion de datos'!$J$16&amp;"Por favor no seleccionar los criterios de impacto(Afectación Económica o presupuestal y Pérdida Reputacional)",M46)</f>
        <v>El riesgo afecta la imagen de la entidad con algunos usuarios de relevancia frente al logro de los objetivos</v>
      </c>
      <c r="O46" s="52" t="str">
        <f>IF(OR(N46=IMPACTO!$C$3,N46=IMPACTO!$D$3),"Leve",IF(OR(N46=IMPACTO!$C$4,N46=IMPACTO!$D$4),"Menor",IF(OR(N46=IMPACTO!$C$5,N46=IMPACTO!$D$5),"Moderado",IF(OR(N46=IMPACTO!$C$6,N46=IMPACTO!$D$6),"Mayor",IF(OR(N46=IMPACTO!$C$7,N46=IMPACTO!$D$7),"Catastrófico","")))))</f>
        <v>Moderado</v>
      </c>
      <c r="P46" s="54">
        <f t="shared" ref="P46:P47" si="61">IF(O46="","",IF(O46="Leve",0.2,IF(O46="Menor",0.4,IF(O46="Moderado",0.6,IF(O46="Mayor",0.8,IF(O46="Catastrófico",1,))))))</f>
        <v>0.6</v>
      </c>
      <c r="Q46" s="78" t="str">
        <f t="shared" ref="Q46:Q47" si="62">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Alto</v>
      </c>
      <c r="R46" s="39">
        <v>1</v>
      </c>
      <c r="S46" s="40" t="s">
        <v>244</v>
      </c>
      <c r="T46" s="214" t="s">
        <v>245</v>
      </c>
      <c r="U46" s="68" t="str">
        <f t="shared" si="1"/>
        <v/>
      </c>
      <c r="V46" s="64"/>
      <c r="W46" s="64"/>
      <c r="X46" s="69" t="str">
        <f t="shared" si="52"/>
        <v/>
      </c>
      <c r="Y46" s="64"/>
      <c r="Z46" s="64"/>
      <c r="AA46" s="64"/>
      <c r="AB46" s="65" t="str">
        <f t="shared" si="53"/>
        <v/>
      </c>
      <c r="AC46" s="70" t="str">
        <f t="shared" si="54"/>
        <v/>
      </c>
      <c r="AD46" s="75" t="str">
        <f t="shared" si="55"/>
        <v/>
      </c>
      <c r="AE46" s="70" t="str">
        <f t="shared" si="56"/>
        <v/>
      </c>
      <c r="AF46" s="69" t="str">
        <f t="shared" si="57"/>
        <v/>
      </c>
      <c r="AG46" s="71" t="str">
        <f t="shared" si="58"/>
        <v/>
      </c>
      <c r="AH46" s="64"/>
      <c r="AI46" s="161"/>
      <c r="AJ46" s="64"/>
    </row>
    <row r="47" spans="1:36" ht="171" customHeight="1">
      <c r="A47" s="205"/>
      <c r="B47" s="217"/>
      <c r="C47" s="220"/>
      <c r="D47" s="226"/>
      <c r="E47" s="226"/>
      <c r="F47" s="226"/>
      <c r="G47" s="243"/>
      <c r="H47" s="243"/>
      <c r="I47" s="243"/>
      <c r="J47" s="4">
        <v>12257</v>
      </c>
      <c r="K47" s="52" t="str">
        <f t="shared" si="59"/>
        <v>Muy Alta</v>
      </c>
      <c r="L47" s="54">
        <f t="shared" si="60"/>
        <v>1</v>
      </c>
      <c r="M47" s="55" t="s">
        <v>110</v>
      </c>
      <c r="N47" s="53" t="str">
        <f>IF(NOT(ISERROR(MATCH(M47,'Validacion de datos'!$H$14:$H$16,0))),'Validacion de datos'!$J$16&amp;"Por favor no seleccionar los criterios de impacto(Afectación Económica o presupuestal y Pérdida Reputacional)",M47)</f>
        <v>El riesgo afecta la imagen de la entidad con algunos usuarios de relevancia frente al logro de los objetivos</v>
      </c>
      <c r="O47" s="52" t="str">
        <f>IF(OR(N47=IMPACTO!$C$3,N47=IMPACTO!$D$3),"Leve",IF(OR(N47=IMPACTO!$C$4,N47=IMPACTO!$D$4),"Menor",IF(OR(N47=IMPACTO!$C$5,N47=IMPACTO!$D$5),"Moderado",IF(OR(N47=IMPACTO!$C$6,N47=IMPACTO!$D$6),"Mayor",IF(OR(N47=IMPACTO!$C$7,N47=IMPACTO!$D$7),"Catastrófico","")))))</f>
        <v>Moderado</v>
      </c>
      <c r="P47" s="54">
        <f t="shared" si="61"/>
        <v>0.6</v>
      </c>
      <c r="Q47" s="78" t="str">
        <f t="shared" si="62"/>
        <v>Alto</v>
      </c>
      <c r="R47" s="39">
        <v>2</v>
      </c>
      <c r="S47" s="40" t="s">
        <v>246</v>
      </c>
      <c r="T47" s="215"/>
      <c r="U47" s="68" t="str">
        <f t="shared" si="1"/>
        <v/>
      </c>
      <c r="V47" s="64"/>
      <c r="W47" s="64"/>
      <c r="X47" s="69" t="str">
        <f t="shared" si="52"/>
        <v/>
      </c>
      <c r="Y47" s="64"/>
      <c r="Z47" s="64"/>
      <c r="AA47" s="64"/>
      <c r="AB47" s="65" t="str">
        <f t="shared" si="53"/>
        <v/>
      </c>
      <c r="AC47" s="70" t="str">
        <f t="shared" si="54"/>
        <v/>
      </c>
      <c r="AD47" s="75" t="str">
        <f t="shared" si="55"/>
        <v/>
      </c>
      <c r="AE47" s="70" t="str">
        <f t="shared" si="56"/>
        <v/>
      </c>
      <c r="AF47" s="69" t="str">
        <f t="shared" si="57"/>
        <v/>
      </c>
      <c r="AG47" s="71" t="str">
        <f t="shared" si="58"/>
        <v/>
      </c>
      <c r="AH47" s="64"/>
      <c r="AI47" s="161"/>
      <c r="AJ47" s="64"/>
    </row>
    <row r="48" spans="1:36" ht="167.1" customHeight="1">
      <c r="A48" s="216">
        <v>27</v>
      </c>
      <c r="B48" s="216" t="s">
        <v>247</v>
      </c>
      <c r="C48" s="219" t="str">
        <f>+IFERROR(VLOOKUP(B48,'Validacion de datos'!A:B,2,0),"")</f>
        <v>Facilitar el mecanismo financiero y recurso para la compra de vivienda nueva, construcción en sitio propio, en proyectos de vivienda social, mejoramiento de vivienda y sustitución de deuda, dirigido a familias de bajos recursos en el Departamento de Antioquia, cuyos ingresos no superen cuatro (4) SMMLV.</v>
      </c>
      <c r="D48" s="225" t="s">
        <v>135</v>
      </c>
      <c r="E48" s="225"/>
      <c r="F48" s="225" t="s">
        <v>248</v>
      </c>
      <c r="G48" s="219" t="s">
        <v>249</v>
      </c>
      <c r="H48" s="213" t="s">
        <v>250</v>
      </c>
      <c r="I48" s="213" t="s">
        <v>251</v>
      </c>
      <c r="J48" s="4">
        <v>600</v>
      </c>
      <c r="K48" s="52" t="str">
        <f t="shared" ref="K48" si="63">IF(J48&lt;=0,"",IF(J48&lt;=2,"Muy Baja",IF(J48&lt;=24,"Baja",IF(J48&lt;=500,"Media",IF(J48&lt;=5000,"Alta","Muy Alta")))))</f>
        <v>Alta</v>
      </c>
      <c r="L48" s="54">
        <f t="shared" ref="L48" si="64">IF(K48="","",IF(K48="Muy Baja",0.2,IF(K48="Baja",0.4,IF(K48="Media",0.6,IF(K48="Alta",0.8,IF(K48="Muy Alta",1,))))))</f>
        <v>0.8</v>
      </c>
      <c r="M48" s="55" t="s">
        <v>110</v>
      </c>
      <c r="N48" s="53" t="str">
        <f>IF(NOT(ISERROR(MATCH(M48,'Validacion de datos'!$H$14:$H$16,0))),'Validacion de datos'!$J$16&amp;"Por favor no seleccionar los criterios de impacto(Afectación Económica o presupuestal y Pérdida Reputacional)",M48)</f>
        <v>El riesgo afecta la imagen de la entidad con algunos usuarios de relevancia frente al logro de los objetivos</v>
      </c>
      <c r="O48" s="52" t="str">
        <f>IF(OR(N48=IMPACTO!$C$3,N48=IMPACTO!$D$3),"Leve",IF(OR(N48=IMPACTO!$C$4,N48=IMPACTO!$D$4),"Menor",IF(OR(N48=IMPACTO!$C$5,N48=IMPACTO!$D$5),"Moderado",IF(OR(N48=IMPACTO!$C$6,N48=IMPACTO!$D$6),"Mayor",IF(OR(N48=IMPACTO!$C$7,N48=IMPACTO!$D$7),"Catastrófico","")))))</f>
        <v>Moderado</v>
      </c>
      <c r="P48" s="54">
        <f t="shared" ref="P48" si="65">IF(O48="","",IF(O48="Leve",0.2,IF(O48="Menor",0.4,IF(O48="Moderado",0.6,IF(O48="Mayor",0.8,IF(O48="Catastrófico",1,))))))</f>
        <v>0.6</v>
      </c>
      <c r="Q48" s="78" t="str">
        <f t="shared" ref="Q48" si="66">IF(OR(AND(K48="Muy Baja",O48="Leve"),AND(K48="Muy Baja",O48="Menor"),AND(K48="Baja",O48="Leve")),"Bajo",IF(OR(AND(K48="Muy baja",O48="Moderado"),AND(K48="Baja",O48="Menor"),AND(K48="Baja",O48="Moderado"),AND(K48="Media",O48="Leve"),AND(K48="Media",O48="Menor"),AND(K48="Media",O48="Moderado"),AND(K48="Alta",O48="Leve"),AND(K48="Alta",O48="Menor")),"Moderado",IF(OR(AND(K48="Muy Baja",O48="Mayor"),AND(K48="Baja",O48="Mayor"),AND(K48="Media",O48="Mayor"),AND(K48="Alta",O48="Moderado"),AND(K48="Alta",O48="Mayor"),AND(K48="Muy Alta",O48="Leve"),AND(K48="Muy Alta",O48="Menor"),AND(K48="Muy Alta",O48="Moderado"),AND(K48="Muy Alta",O48="Mayor")),"Alto",IF(OR(AND(K48="Muy Baja",O48="Catastrófico"),AND(K48="Baja",O48="Catastrófico"),AND(K48="Media",O48="Catastrófico"),AND(K48="Alta",O48="Catastrófico"),AND(K48="Muy Alta",O48="Catastrófico")),"Extremo",""))))</f>
        <v>Alto</v>
      </c>
      <c r="R48" s="39">
        <v>1</v>
      </c>
      <c r="S48" s="83" t="s">
        <v>252</v>
      </c>
      <c r="T48" s="213" t="s">
        <v>253</v>
      </c>
      <c r="U48" s="68" t="str">
        <f t="shared" si="1"/>
        <v/>
      </c>
      <c r="V48" s="64"/>
      <c r="W48" s="64"/>
      <c r="X48" s="69" t="str">
        <f t="shared" ref="X48" si="67">IF(AND(V48="Preventivo",W48="Automática"),"50%",IF(AND(V48="Preventivo",W48="Manual"),"40%",IF(AND(V48="Detectivo",W48="Automática"),"40%",IF(AND(V48="Detectivo",W48="Manual"),"30%",IF(AND(V48="Correctivo",W48="Automática"),"35%",IF(AND(V48="Correctivo",W48="Manual"),"25%",""))))))</f>
        <v/>
      </c>
      <c r="Y48" s="64"/>
      <c r="Z48" s="64"/>
      <c r="AA48" s="64"/>
      <c r="AB48" s="65" t="str">
        <f t="shared" ref="AB48" si="68">IFERROR(IF(U48="Probabilidad",(L48-(+L48*X48)),IF(U48="Impacto",L48,"")),"")</f>
        <v/>
      </c>
      <c r="AC48" s="70" t="str">
        <f t="shared" ref="AC48" si="69">IFERROR(IF(AB48="","",IF(AB48&lt;=0.2,"Muy Baja",IF(AB48&lt;=0.4,"Baja",IF(AB48&lt;=0.6,"Media",IF(AB48&lt;=0.8,"Alta","Muy Alta"))))),"")</f>
        <v/>
      </c>
      <c r="AD48" s="75" t="str">
        <f t="shared" ref="AD48" si="70">+AB48</f>
        <v/>
      </c>
      <c r="AE48" s="70" t="str">
        <f t="shared" ref="AE48" si="71">IFERROR(IF(AF48="","",IF(AF48&lt;=0.2,"Leve",IF(AF48&lt;=0.4,"Menor",IF(AF48&lt;=0.6,"Moderado",IF(AF48&lt;=0.8,"Mayor","Catastrófico"))))),"")</f>
        <v/>
      </c>
      <c r="AF48" s="69" t="str">
        <f t="shared" ref="AF48" si="72">IFERROR(IF(U48="Impacto",(P48-(+P48*X48)),IF(U48="Probabilidad",P48,"")),"")</f>
        <v/>
      </c>
      <c r="AG48" s="71" t="str">
        <f t="shared" ref="AG48" si="73">IFERROR(IF(OR(AND(AC48="Muy Baja",AE48="Leve"),AND(AC48="Muy Baja",AE48="Menor"),AND(AC48="Baja",AE48="Leve")),"Bajo",IF(OR(AND(AC48="Muy baja",AE48="Moderado"),AND(AC48="Baja",AE48="Menor"),AND(AC48="Baja",AE48="Moderado"),AND(AC48="Media",AE48="Leve"),AND(AC48="Media",AE48="Menor"),AND(AC48="Media",AE48="Moderado"),AND(AC48="Alta",AE48="Leve"),AND(AC48="Alta",AE48="Menor")),"Moderado",IF(OR(AND(AC48="Muy Baja",AE48="Mayor"),AND(AC48="Baja",AE48="Mayor"),AND(AC48="Media",AE48="Mayor"),AND(AC48="Alta",AE48="Moderado"),AND(AC48="Alta",AE48="Mayor"),AND(AC48="Muy Alta",AE48="Leve"),AND(AC48="Muy Alta",AE48="Menor"),AND(AC48="Muy Alta",AE48="Moderado"),AND(AC48="Muy Alta",AE48="Mayor")),"Alto",IF(OR(AND(AC48="Muy Baja",AE48="Catastrófico"),AND(AC48="Baja",AE48="Catastrófico"),AND(AC48="Media",AE48="Catastrófico"),AND(AC48="Alta",AE48="Catastrófico"),AND(AC48="Muy Alta",AE48="Catastrófico")),"Extremo","")))),"")</f>
        <v/>
      </c>
      <c r="AH48" s="64"/>
      <c r="AI48" s="161"/>
      <c r="AJ48" s="64"/>
    </row>
    <row r="49" spans="1:36" ht="167.1" customHeight="1">
      <c r="A49" s="218"/>
      <c r="B49" s="217"/>
      <c r="C49" s="220"/>
      <c r="D49" s="227"/>
      <c r="E49" s="227"/>
      <c r="F49" s="227"/>
      <c r="G49" s="221"/>
      <c r="H49" s="215"/>
      <c r="I49" s="215"/>
      <c r="J49" s="4">
        <v>600</v>
      </c>
      <c r="K49" s="52" t="str">
        <f t="shared" si="9"/>
        <v>Alta</v>
      </c>
      <c r="L49" s="54">
        <f t="shared" si="0"/>
        <v>0.8</v>
      </c>
      <c r="M49" s="55" t="s">
        <v>110</v>
      </c>
      <c r="N49" s="53" t="str">
        <f>IF(NOT(ISERROR(MATCH(M49,'Validacion de datos'!$H$14:$H$16,0))),'Validacion de datos'!$J$16&amp;"Por favor no seleccionar los criterios de impacto(Afectación Económica o presupuestal y Pérdida Reputacional)",M49)</f>
        <v>El riesgo afecta la imagen de la entidad con algunos usuarios de relevancia frente al logro de los objetivos</v>
      </c>
      <c r="O49" s="52" t="str">
        <f>IF(OR(N49=IMPACTO!$C$3,N49=IMPACTO!$D$3),"Leve",IF(OR(N49=IMPACTO!$C$4,N49=IMPACTO!$D$4),"Menor",IF(OR(N49=IMPACTO!$C$5,N49=IMPACTO!$D$5),"Moderado",IF(OR(N49=IMPACTO!$C$6,N49=IMPACTO!$D$6),"Mayor",IF(OR(N49=IMPACTO!$C$7,N49=IMPACTO!$D$7),"Catastrófico","")))))</f>
        <v>Moderado</v>
      </c>
      <c r="P49" s="54">
        <f t="shared" si="10"/>
        <v>0.6</v>
      </c>
      <c r="Q49" s="78" t="str">
        <f t="shared" si="17"/>
        <v>Alto</v>
      </c>
      <c r="R49" s="39">
        <v>2</v>
      </c>
      <c r="S49" s="83" t="s">
        <v>254</v>
      </c>
      <c r="T49" s="215"/>
      <c r="U49" s="68" t="str">
        <f t="shared" si="1"/>
        <v/>
      </c>
      <c r="V49" s="64"/>
      <c r="W49" s="64"/>
      <c r="X49" s="69" t="str">
        <f t="shared" si="12"/>
        <v/>
      </c>
      <c r="Y49" s="64"/>
      <c r="Z49" s="64"/>
      <c r="AA49" s="64"/>
      <c r="AB49" s="65" t="str">
        <f t="shared" si="13"/>
        <v/>
      </c>
      <c r="AC49" s="70" t="str">
        <f t="shared" si="4"/>
        <v/>
      </c>
      <c r="AD49" s="75" t="str">
        <f t="shared" si="14"/>
        <v/>
      </c>
      <c r="AE49" s="70" t="str">
        <f t="shared" si="6"/>
        <v/>
      </c>
      <c r="AF49" s="69" t="str">
        <f t="shared" si="15"/>
        <v/>
      </c>
      <c r="AG49" s="71" t="str">
        <f t="shared" si="16"/>
        <v/>
      </c>
      <c r="AH49" s="64"/>
      <c r="AI49" s="161"/>
      <c r="AJ49" s="64"/>
    </row>
    <row r="50" spans="1:36" ht="167.1" customHeight="1">
      <c r="A50" s="1">
        <v>28</v>
      </c>
      <c r="B50" s="217"/>
      <c r="C50" s="220"/>
      <c r="D50" s="7"/>
      <c r="E50" s="7" t="s">
        <v>156</v>
      </c>
      <c r="F50" s="7" t="s">
        <v>94</v>
      </c>
      <c r="G50" s="19" t="s">
        <v>255</v>
      </c>
      <c r="H50" s="40" t="s">
        <v>256</v>
      </c>
      <c r="I50" s="2" t="s">
        <v>257</v>
      </c>
      <c r="J50" s="4">
        <v>243</v>
      </c>
      <c r="K50" s="52" t="str">
        <f t="shared" si="9"/>
        <v>Media</v>
      </c>
      <c r="L50" s="54">
        <f t="shared" si="0"/>
        <v>0.6</v>
      </c>
      <c r="M50" s="55" t="s">
        <v>139</v>
      </c>
      <c r="N50" s="53" t="str">
        <f>IF(NOT(ISERROR(MATCH(M50,'Validacion de datos'!$H$14:$H$16,0))),'Validacion de datos'!$J$16&amp;"Por favor no seleccionar los criterios de impacto(Afectación Económica o presupuestal y Pérdida Reputacional)",M50)</f>
        <v xml:space="preserve">Entre 100 y 500 SMLMV </v>
      </c>
      <c r="O50" s="52" t="str">
        <f>IF(OR(N50=IMPACTO!$C$3,N50=IMPACTO!$D$3),"Leve",IF(OR(N50=IMPACTO!$C$4,N50=IMPACTO!$D$4),"Menor",IF(OR(N50=IMPACTO!$C$5,N50=IMPACTO!$D$5),"Moderado",IF(OR(N50=IMPACTO!$C$6,N50=IMPACTO!$D$6),"Mayor",IF(OR(N50=IMPACTO!$C$7,N50=IMPACTO!$D$7),"Catastrófico","")))))</f>
        <v>Mayor</v>
      </c>
      <c r="P50" s="54">
        <f t="shared" si="10"/>
        <v>0.8</v>
      </c>
      <c r="Q50" s="78" t="str">
        <f t="shared" si="17"/>
        <v>Alto</v>
      </c>
      <c r="R50" s="39">
        <v>1</v>
      </c>
      <c r="S50" s="83" t="s">
        <v>258</v>
      </c>
      <c r="T50" s="4" t="s">
        <v>253</v>
      </c>
      <c r="U50" s="68" t="str">
        <f t="shared" si="1"/>
        <v/>
      </c>
      <c r="V50" s="64"/>
      <c r="W50" s="64"/>
      <c r="X50" s="69" t="str">
        <f t="shared" si="12"/>
        <v/>
      </c>
      <c r="Y50" s="64"/>
      <c r="Z50" s="64"/>
      <c r="AA50" s="64"/>
      <c r="AB50" s="65" t="str">
        <f t="shared" si="13"/>
        <v/>
      </c>
      <c r="AC50" s="70" t="str">
        <f t="shared" si="4"/>
        <v/>
      </c>
      <c r="AD50" s="75" t="str">
        <f t="shared" si="14"/>
        <v/>
      </c>
      <c r="AE50" s="70" t="str">
        <f t="shared" si="6"/>
        <v/>
      </c>
      <c r="AF50" s="69" t="str">
        <f t="shared" si="15"/>
        <v/>
      </c>
      <c r="AG50" s="71" t="str">
        <f t="shared" si="16"/>
        <v/>
      </c>
      <c r="AH50" s="64"/>
      <c r="AI50" s="161"/>
      <c r="AJ50" s="64"/>
    </row>
    <row r="51" spans="1:36" ht="167.1" customHeight="1">
      <c r="A51" s="1">
        <v>29</v>
      </c>
      <c r="B51" s="217"/>
      <c r="C51" s="220"/>
      <c r="D51" s="7"/>
      <c r="E51" s="7" t="s">
        <v>156</v>
      </c>
      <c r="F51" s="7" t="s">
        <v>129</v>
      </c>
      <c r="G51" s="19" t="s">
        <v>259</v>
      </c>
      <c r="H51" s="40" t="s">
        <v>260</v>
      </c>
      <c r="I51" s="2" t="s">
        <v>261</v>
      </c>
      <c r="J51" s="4">
        <v>243</v>
      </c>
      <c r="K51" s="52" t="str">
        <f t="shared" si="9"/>
        <v>Media</v>
      </c>
      <c r="L51" s="54">
        <f t="shared" si="0"/>
        <v>0.6</v>
      </c>
      <c r="M51" s="55" t="s">
        <v>139</v>
      </c>
      <c r="N51" s="53" t="str">
        <f>IF(NOT(ISERROR(MATCH(M51,'Validacion de datos'!$H$14:$H$16,0))),'Validacion de datos'!$J$16&amp;"Por favor no seleccionar los criterios de impacto(Afectación Económica o presupuestal y Pérdida Reputacional)",M51)</f>
        <v xml:space="preserve">Entre 100 y 500 SMLMV </v>
      </c>
      <c r="O51" s="52" t="str">
        <f>IF(OR(N51=IMPACTO!$C$3,N51=IMPACTO!$D$3),"Leve",IF(OR(N51=IMPACTO!$C$4,N51=IMPACTO!$D$4),"Menor",IF(OR(N51=IMPACTO!$C$5,N51=IMPACTO!$D$5),"Moderado",IF(OR(N51=IMPACTO!$C$6,N51=IMPACTO!$D$6),"Mayor",IF(OR(N51=IMPACTO!$C$7,N51=IMPACTO!$D$7),"Catastrófico","")))))</f>
        <v>Mayor</v>
      </c>
      <c r="P51" s="54">
        <f t="shared" si="10"/>
        <v>0.8</v>
      </c>
      <c r="Q51" s="78" t="str">
        <f t="shared" si="17"/>
        <v>Alto</v>
      </c>
      <c r="R51" s="39">
        <v>1</v>
      </c>
      <c r="S51" s="83" t="s">
        <v>262</v>
      </c>
      <c r="T51" s="4" t="s">
        <v>253</v>
      </c>
      <c r="U51" s="68" t="str">
        <f t="shared" si="1"/>
        <v/>
      </c>
      <c r="V51" s="64"/>
      <c r="W51" s="64"/>
      <c r="X51" s="69" t="str">
        <f t="shared" si="12"/>
        <v/>
      </c>
      <c r="Y51" s="64"/>
      <c r="Z51" s="64"/>
      <c r="AA51" s="64"/>
      <c r="AB51" s="65" t="str">
        <f t="shared" si="13"/>
        <v/>
      </c>
      <c r="AC51" s="70" t="str">
        <f t="shared" si="4"/>
        <v/>
      </c>
      <c r="AD51" s="75" t="str">
        <f t="shared" si="14"/>
        <v/>
      </c>
      <c r="AE51" s="70" t="str">
        <f t="shared" si="6"/>
        <v/>
      </c>
      <c r="AF51" s="69" t="str">
        <f t="shared" si="15"/>
        <v/>
      </c>
      <c r="AG51" s="71" t="str">
        <f t="shared" si="16"/>
        <v/>
      </c>
      <c r="AH51" s="64"/>
      <c r="AI51" s="161"/>
      <c r="AJ51" s="64"/>
    </row>
    <row r="52" spans="1:36" ht="167.1" customHeight="1">
      <c r="A52" s="1">
        <v>30</v>
      </c>
      <c r="B52" s="217"/>
      <c r="C52" s="220"/>
      <c r="D52" s="7"/>
      <c r="E52" s="7" t="s">
        <v>156</v>
      </c>
      <c r="F52" s="7" t="s">
        <v>129</v>
      </c>
      <c r="G52" s="19" t="s">
        <v>263</v>
      </c>
      <c r="H52" s="40" t="s">
        <v>264</v>
      </c>
      <c r="I52" s="2" t="s">
        <v>265</v>
      </c>
      <c r="J52" s="4">
        <v>243</v>
      </c>
      <c r="K52" s="52" t="str">
        <f t="shared" si="9"/>
        <v>Media</v>
      </c>
      <c r="L52" s="54">
        <f t="shared" si="0"/>
        <v>0.6</v>
      </c>
      <c r="M52" s="55" t="s">
        <v>110</v>
      </c>
      <c r="N52" s="53" t="str">
        <f>IF(NOT(ISERROR(MATCH(M52,'Validacion de datos'!$H$14:$H$16,0))),'Validacion de datos'!$J$16&amp;"Por favor no seleccionar los criterios de impacto(Afectación Económica o presupuestal y Pérdida Reputacional)",M52)</f>
        <v>El riesgo afecta la imagen de la entidad con algunos usuarios de relevancia frente al logro de los objetivos</v>
      </c>
      <c r="O52" s="52" t="str">
        <f>IF(OR(N52=IMPACTO!$C$3,N52=IMPACTO!$D$3),"Leve",IF(OR(N52=IMPACTO!$C$4,N52=IMPACTO!$D$4),"Menor",IF(OR(N52=IMPACTO!$C$5,N52=IMPACTO!$D$5),"Moderado",IF(OR(N52=IMPACTO!$C$6,N52=IMPACTO!$D$6),"Mayor",IF(OR(N52=IMPACTO!$C$7,N52=IMPACTO!$D$7),"Catastrófico","")))))</f>
        <v>Moderado</v>
      </c>
      <c r="P52" s="54">
        <f t="shared" si="10"/>
        <v>0.6</v>
      </c>
      <c r="Q52" s="78" t="str">
        <f t="shared" si="17"/>
        <v>Moderado</v>
      </c>
      <c r="R52" s="39">
        <v>1</v>
      </c>
      <c r="S52" s="83" t="s">
        <v>266</v>
      </c>
      <c r="T52" s="4" t="s">
        <v>253</v>
      </c>
      <c r="U52" s="68" t="str">
        <f t="shared" si="1"/>
        <v/>
      </c>
      <c r="V52" s="64"/>
      <c r="W52" s="64"/>
      <c r="X52" s="69" t="str">
        <f t="shared" si="12"/>
        <v/>
      </c>
      <c r="Y52" s="64"/>
      <c r="Z52" s="64"/>
      <c r="AA52" s="64"/>
      <c r="AB52" s="65" t="str">
        <f t="shared" si="13"/>
        <v/>
      </c>
      <c r="AC52" s="70" t="str">
        <f t="shared" si="4"/>
        <v/>
      </c>
      <c r="AD52" s="75" t="str">
        <f t="shared" si="14"/>
        <v/>
      </c>
      <c r="AE52" s="70" t="str">
        <f t="shared" si="6"/>
        <v/>
      </c>
      <c r="AF52" s="69" t="str">
        <f t="shared" si="15"/>
        <v/>
      </c>
      <c r="AG52" s="71" t="str">
        <f t="shared" si="16"/>
        <v/>
      </c>
      <c r="AH52" s="64"/>
      <c r="AI52" s="161"/>
      <c r="AJ52" s="64"/>
    </row>
    <row r="53" spans="1:36" ht="167.1" customHeight="1">
      <c r="A53" s="1">
        <v>31</v>
      </c>
      <c r="B53" s="218"/>
      <c r="C53" s="221"/>
      <c r="D53" s="7" t="s">
        <v>106</v>
      </c>
      <c r="E53" s="7"/>
      <c r="F53" s="7" t="s">
        <v>129</v>
      </c>
      <c r="G53" s="19" t="s">
        <v>267</v>
      </c>
      <c r="H53" s="81" t="s">
        <v>268</v>
      </c>
      <c r="I53" s="6" t="s">
        <v>269</v>
      </c>
      <c r="J53" s="4">
        <v>243</v>
      </c>
      <c r="K53" s="52" t="str">
        <f t="shared" si="9"/>
        <v>Media</v>
      </c>
      <c r="L53" s="54">
        <f t="shared" si="0"/>
        <v>0.6</v>
      </c>
      <c r="M53" s="55" t="s">
        <v>98</v>
      </c>
      <c r="N53" s="53" t="str">
        <f>IF(NOT(ISERROR(MATCH(M53,'Validacion de datos'!$H$14:$H$16,0))),'Validacion de datos'!$J$16&amp;"Por favor no seleccionar los criterios de impacto(Afectación Económica o presupuestal y Pérdida Reputacional)",M53)</f>
        <v>El riesgo afecta la imagen de alguna área de la organización</v>
      </c>
      <c r="O53" s="52" t="str">
        <f>IF(OR(N53=IMPACTO!$C$3,N53=IMPACTO!$D$3),"Leve",IF(OR(N53=IMPACTO!$C$4,N53=IMPACTO!$D$4),"Menor",IF(OR(N53=IMPACTO!$C$5,N53=IMPACTO!$D$5),"Moderado",IF(OR(N53=IMPACTO!$C$6,N53=IMPACTO!$D$6),"Mayor",IF(OR(N53=IMPACTO!$C$7,N53=IMPACTO!$D$7),"Catastrófico","")))))</f>
        <v>Leve</v>
      </c>
      <c r="P53" s="54">
        <f t="shared" si="10"/>
        <v>0.2</v>
      </c>
      <c r="Q53" s="78" t="str">
        <f t="shared" si="17"/>
        <v>Moderado</v>
      </c>
      <c r="R53" s="39">
        <v>1</v>
      </c>
      <c r="S53" s="83" t="s">
        <v>270</v>
      </c>
      <c r="T53" s="4" t="s">
        <v>253</v>
      </c>
      <c r="U53" s="68" t="str">
        <f t="shared" si="1"/>
        <v/>
      </c>
      <c r="V53" s="64"/>
      <c r="W53" s="64"/>
      <c r="X53" s="69" t="str">
        <f t="shared" si="12"/>
        <v/>
      </c>
      <c r="Y53" s="64"/>
      <c r="Z53" s="64"/>
      <c r="AA53" s="64"/>
      <c r="AB53" s="65" t="str">
        <f t="shared" si="13"/>
        <v/>
      </c>
      <c r="AC53" s="70" t="str">
        <f t="shared" si="4"/>
        <v/>
      </c>
      <c r="AD53" s="75" t="str">
        <f t="shared" si="14"/>
        <v/>
      </c>
      <c r="AE53" s="70" t="str">
        <f t="shared" si="6"/>
        <v/>
      </c>
      <c r="AF53" s="69" t="str">
        <f t="shared" si="15"/>
        <v/>
      </c>
      <c r="AG53" s="71" t="str">
        <f t="shared" si="16"/>
        <v/>
      </c>
      <c r="AH53" s="64"/>
      <c r="AI53" s="161"/>
      <c r="AJ53" s="64"/>
    </row>
    <row r="54" spans="1:36" ht="129.94999999999999" customHeight="1">
      <c r="A54" s="216">
        <v>32</v>
      </c>
      <c r="B54" s="216" t="s">
        <v>271</v>
      </c>
      <c r="C54" s="219" t="str">
        <f>+IFERROR(VLOOKUP(B54,'Validacion de datos'!A:B,2,0),"")</f>
        <v>Garantizar que las actuaciones jurídicas y contractuales se realicen de acuerdo a la normatividad vigente y aplicable a cada caso, evitando de esta manera el daño antijurídico y la materialización de riesgos, mediante actuaciones preventivas, el estudio riguroso de cada necesidad de VIVA.</v>
      </c>
      <c r="D54" s="225" t="s">
        <v>135</v>
      </c>
      <c r="E54" s="225" t="s">
        <v>156</v>
      </c>
      <c r="F54" s="225" t="s">
        <v>94</v>
      </c>
      <c r="G54" s="219" t="s">
        <v>272</v>
      </c>
      <c r="H54" s="213" t="s">
        <v>273</v>
      </c>
      <c r="I54" s="213" t="s">
        <v>274</v>
      </c>
      <c r="J54" s="4">
        <v>48</v>
      </c>
      <c r="K54" s="52" t="str">
        <f t="shared" si="9"/>
        <v>Media</v>
      </c>
      <c r="L54" s="54">
        <f t="shared" si="0"/>
        <v>0.6</v>
      </c>
      <c r="M54" s="55" t="s">
        <v>139</v>
      </c>
      <c r="N54" s="53" t="str">
        <f>IF(NOT(ISERROR(MATCH(M54,'Validacion de datos'!$H$14:$H$16,0))),'Validacion de datos'!$J$16&amp;"Por favor no seleccionar los criterios de impacto(Afectación Económica o presupuestal y Pérdida Reputacional)",M54)</f>
        <v xml:space="preserve">Entre 100 y 500 SMLMV </v>
      </c>
      <c r="O54" s="52" t="str">
        <f>IF(OR(N54=IMPACTO!$C$3,N54=IMPACTO!$D$3),"Leve",IF(OR(N54=IMPACTO!$C$4,N54=IMPACTO!$D$4),"Menor",IF(OR(N54=IMPACTO!$C$5,N54=IMPACTO!$D$5),"Moderado",IF(OR(N54=IMPACTO!$C$6,N54=IMPACTO!$D$6),"Mayor",IF(OR(N54=IMPACTO!$C$7,N54=IMPACTO!$D$7),"Catastrófico","")))))</f>
        <v>Mayor</v>
      </c>
      <c r="P54" s="54">
        <f t="shared" si="10"/>
        <v>0.8</v>
      </c>
      <c r="Q54" s="78" t="str">
        <f t="shared" si="17"/>
        <v>Alto</v>
      </c>
      <c r="R54" s="39">
        <v>1</v>
      </c>
      <c r="S54" s="83" t="s">
        <v>275</v>
      </c>
      <c r="T54" s="239" t="s">
        <v>276</v>
      </c>
      <c r="U54" s="68" t="str">
        <f t="shared" si="1"/>
        <v/>
      </c>
      <c r="V54" s="64"/>
      <c r="W54" s="64"/>
      <c r="X54" s="69" t="str">
        <f t="shared" si="12"/>
        <v/>
      </c>
      <c r="Y54" s="64"/>
      <c r="Z54" s="64"/>
      <c r="AA54" s="64"/>
      <c r="AB54" s="65" t="str">
        <f t="shared" si="13"/>
        <v/>
      </c>
      <c r="AC54" s="70" t="str">
        <f t="shared" si="4"/>
        <v/>
      </c>
      <c r="AD54" s="75" t="str">
        <f t="shared" si="14"/>
        <v/>
      </c>
      <c r="AE54" s="70" t="str">
        <f t="shared" si="6"/>
        <v/>
      </c>
      <c r="AF54" s="69" t="str">
        <f t="shared" si="15"/>
        <v/>
      </c>
      <c r="AG54" s="71" t="str">
        <f t="shared" si="16"/>
        <v/>
      </c>
      <c r="AH54" s="64"/>
      <c r="AI54" s="161"/>
      <c r="AJ54" s="64"/>
    </row>
    <row r="55" spans="1:36" ht="129.94999999999999" customHeight="1">
      <c r="A55" s="217"/>
      <c r="B55" s="217"/>
      <c r="C55" s="220"/>
      <c r="D55" s="226"/>
      <c r="E55" s="226"/>
      <c r="F55" s="226"/>
      <c r="G55" s="220"/>
      <c r="H55" s="214"/>
      <c r="I55" s="214"/>
      <c r="J55" s="4">
        <v>48</v>
      </c>
      <c r="K55" s="52" t="str">
        <f t="shared" ref="K55:K56" si="74">IF(J55&lt;=0,"",IF(J55&lt;=2,"Muy Baja",IF(J55&lt;=24,"Baja",IF(J55&lt;=500,"Media",IF(J55&lt;=5000,"Alta","Muy Alta")))))</f>
        <v>Media</v>
      </c>
      <c r="L55" s="54">
        <f t="shared" ref="L55:L56" si="75">IF(K55="","",IF(K55="Muy Baja",0.2,IF(K55="Baja",0.4,IF(K55="Media",0.6,IF(K55="Alta",0.8,IF(K55="Muy Alta",1,))))))</f>
        <v>0.6</v>
      </c>
      <c r="M55" s="55" t="s">
        <v>139</v>
      </c>
      <c r="N55" s="53" t="str">
        <f>IF(NOT(ISERROR(MATCH(M55,'Validacion de datos'!$H$14:$H$16,0))),'Validacion de datos'!$J$16&amp;"Por favor no seleccionar los criterios de impacto(Afectación Económica o presupuestal y Pérdida Reputacional)",M55)</f>
        <v xml:space="preserve">Entre 100 y 500 SMLMV </v>
      </c>
      <c r="O55" s="52" t="str">
        <f>IF(OR(N55=IMPACTO!$C$3,N55=IMPACTO!$D$3),"Leve",IF(OR(N55=IMPACTO!$C$4,N55=IMPACTO!$D$4),"Menor",IF(OR(N55=IMPACTO!$C$5,N55=IMPACTO!$D$5),"Moderado",IF(OR(N55=IMPACTO!$C$6,N55=IMPACTO!$D$6),"Mayor",IF(OR(N55=IMPACTO!$C$7,N55=IMPACTO!$D$7),"Catastrófico","")))))</f>
        <v>Mayor</v>
      </c>
      <c r="P55" s="54">
        <f t="shared" ref="P55:P56" si="76">IF(O55="","",IF(O55="Leve",0.2,IF(O55="Menor",0.4,IF(O55="Moderado",0.6,IF(O55="Mayor",0.8,IF(O55="Catastrófico",1,))))))</f>
        <v>0.8</v>
      </c>
      <c r="Q55" s="78" t="str">
        <f t="shared" ref="Q55:Q56" si="77">IF(OR(AND(K55="Muy Baja",O55="Leve"),AND(K55="Muy Baja",O55="Menor"),AND(K55="Baja",O55="Leve")),"Bajo",IF(OR(AND(K55="Muy baja",O55="Moderado"),AND(K55="Baja",O55="Menor"),AND(K55="Baja",O55="Moderado"),AND(K55="Media",O55="Leve"),AND(K55="Media",O55="Menor"),AND(K55="Media",O55="Moderado"),AND(K55="Alta",O55="Leve"),AND(K55="Alta",O55="Menor")),"Moderado",IF(OR(AND(K55="Muy Baja",O55="Mayor"),AND(K55="Baja",O55="Mayor"),AND(K55="Media",O55="Mayor"),AND(K55="Alta",O55="Moderado"),AND(K55="Alta",O55="Mayor"),AND(K55="Muy Alta",O55="Leve"),AND(K55="Muy Alta",O55="Menor"),AND(K55="Muy Alta",O55="Moderado"),AND(K55="Muy Alta",O55="Mayor")),"Alto",IF(OR(AND(K55="Muy Baja",O55="Catastrófico"),AND(K55="Baja",O55="Catastrófico"),AND(K55="Media",O55="Catastrófico"),AND(K55="Alta",O55="Catastrófico"),AND(K55="Muy Alta",O55="Catastrófico")),"Extremo",""))))</f>
        <v>Alto</v>
      </c>
      <c r="R55" s="39">
        <v>2</v>
      </c>
      <c r="S55" s="83" t="s">
        <v>277</v>
      </c>
      <c r="T55" s="240"/>
      <c r="U55" s="68" t="str">
        <f t="shared" ref="U55:U56" si="78">IF(OR(V55="Preventivo",V55="Detectivo"),"Probabilidad",IF(V55="Correctivo","Impacto",""))</f>
        <v/>
      </c>
      <c r="V55" s="64"/>
      <c r="W55" s="64"/>
      <c r="X55" s="69" t="str">
        <f t="shared" ref="X55:X56" si="79">IF(AND(V55="Preventivo",W55="Automática"),"50%",IF(AND(V55="Preventivo",W55="Manual"),"40%",IF(AND(V55="Detectivo",W55="Automática"),"40%",IF(AND(V55="Detectivo",W55="Manual"),"30%",IF(AND(V55="Correctivo",W55="Automática"),"35%",IF(AND(V55="Correctivo",W55="Manual"),"25%",""))))))</f>
        <v/>
      </c>
      <c r="Y55" s="64"/>
      <c r="Z55" s="64"/>
      <c r="AA55" s="64"/>
      <c r="AB55" s="65" t="str">
        <f t="shared" ref="AB55:AB56" si="80">IFERROR(IF(U55="Probabilidad",(L55-(+L55*X55)),IF(U55="Impacto",L55,"")),"")</f>
        <v/>
      </c>
      <c r="AC55" s="70" t="str">
        <f t="shared" ref="AC55:AC56" si="81">IFERROR(IF(AB55="","",IF(AB55&lt;=0.2,"Muy Baja",IF(AB55&lt;=0.4,"Baja",IF(AB55&lt;=0.6,"Media",IF(AB55&lt;=0.8,"Alta","Muy Alta"))))),"")</f>
        <v/>
      </c>
      <c r="AD55" s="75" t="str">
        <f t="shared" ref="AD55:AD56" si="82">+AB55</f>
        <v/>
      </c>
      <c r="AE55" s="70" t="str">
        <f t="shared" ref="AE55:AE56" si="83">IFERROR(IF(AF55="","",IF(AF55&lt;=0.2,"Leve",IF(AF55&lt;=0.4,"Menor",IF(AF55&lt;=0.6,"Moderado",IF(AF55&lt;=0.8,"Mayor","Catastrófico"))))),"")</f>
        <v/>
      </c>
      <c r="AF55" s="69" t="str">
        <f t="shared" ref="AF55:AF56" si="84">IFERROR(IF(U55="Impacto",(P55-(+P55*X55)),IF(U55="Probabilidad",P55,"")),"")</f>
        <v/>
      </c>
      <c r="AG55" s="71" t="str">
        <f t="shared" ref="AG55:AG56" si="85">IFERROR(IF(OR(AND(AC55="Muy Baja",AE55="Leve"),AND(AC55="Muy Baja",AE55="Menor"),AND(AC55="Baja",AE55="Leve")),"Bajo",IF(OR(AND(AC55="Muy baja",AE55="Moderado"),AND(AC55="Baja",AE55="Menor"),AND(AC55="Baja",AE55="Moderado"),AND(AC55="Media",AE55="Leve"),AND(AC55="Media",AE55="Menor"),AND(AC55="Media",AE55="Moderado"),AND(AC55="Alta",AE55="Leve"),AND(AC55="Alta",AE55="Menor")),"Moderado",IF(OR(AND(AC55="Muy Baja",AE55="Mayor"),AND(AC55="Baja",AE55="Mayor"),AND(AC55="Media",AE55="Mayor"),AND(AC55="Alta",AE55="Moderado"),AND(AC55="Alta",AE55="Mayor"),AND(AC55="Muy Alta",AE55="Leve"),AND(AC55="Muy Alta",AE55="Menor"),AND(AC55="Muy Alta",AE55="Moderado"),AND(AC55="Muy Alta",AE55="Mayor")),"Alto",IF(OR(AND(AC55="Muy Baja",AE55="Catastrófico"),AND(AC55="Baja",AE55="Catastrófico"),AND(AC55="Media",AE55="Catastrófico"),AND(AC55="Alta",AE55="Catastrófico"),AND(AC55="Muy Alta",AE55="Catastrófico")),"Extremo","")))),"")</f>
        <v/>
      </c>
      <c r="AH55" s="64"/>
      <c r="AI55" s="161"/>
      <c r="AJ55" s="64"/>
    </row>
    <row r="56" spans="1:36" ht="129.94999999999999" customHeight="1">
      <c r="A56" s="218"/>
      <c r="B56" s="217"/>
      <c r="C56" s="220"/>
      <c r="D56" s="227"/>
      <c r="E56" s="227"/>
      <c r="F56" s="227"/>
      <c r="G56" s="221"/>
      <c r="H56" s="215"/>
      <c r="I56" s="215"/>
      <c r="J56" s="4">
        <v>48</v>
      </c>
      <c r="K56" s="52" t="str">
        <f t="shared" si="74"/>
        <v>Media</v>
      </c>
      <c r="L56" s="54">
        <f t="shared" si="75"/>
        <v>0.6</v>
      </c>
      <c r="M56" s="55" t="s">
        <v>139</v>
      </c>
      <c r="N56" s="53" t="str">
        <f>IF(NOT(ISERROR(MATCH(M56,'Validacion de datos'!$H$14:$H$16,0))),'Validacion de datos'!$J$16&amp;"Por favor no seleccionar los criterios de impacto(Afectación Económica o presupuestal y Pérdida Reputacional)",M56)</f>
        <v xml:space="preserve">Entre 100 y 500 SMLMV </v>
      </c>
      <c r="O56" s="52" t="str">
        <f>IF(OR(N56=IMPACTO!$C$3,N56=IMPACTO!$D$3),"Leve",IF(OR(N56=IMPACTO!$C$4,N56=IMPACTO!$D$4),"Menor",IF(OR(N56=IMPACTO!$C$5,N56=IMPACTO!$D$5),"Moderado",IF(OR(N56=IMPACTO!$C$6,N56=IMPACTO!$D$6),"Mayor",IF(OR(N56=IMPACTO!$C$7,N56=IMPACTO!$D$7),"Catastrófico","")))))</f>
        <v>Mayor</v>
      </c>
      <c r="P56" s="54">
        <f t="shared" si="76"/>
        <v>0.8</v>
      </c>
      <c r="Q56" s="78" t="str">
        <f t="shared" si="77"/>
        <v>Alto</v>
      </c>
      <c r="R56" s="39">
        <v>3</v>
      </c>
      <c r="S56" s="83" t="s">
        <v>278</v>
      </c>
      <c r="T56" s="241"/>
      <c r="U56" s="68" t="str">
        <f t="shared" si="78"/>
        <v/>
      </c>
      <c r="V56" s="64"/>
      <c r="W56" s="64"/>
      <c r="X56" s="69" t="str">
        <f t="shared" si="79"/>
        <v/>
      </c>
      <c r="Y56" s="64"/>
      <c r="Z56" s="64"/>
      <c r="AA56" s="64"/>
      <c r="AB56" s="65" t="str">
        <f t="shared" si="80"/>
        <v/>
      </c>
      <c r="AC56" s="70" t="str">
        <f t="shared" si="81"/>
        <v/>
      </c>
      <c r="AD56" s="75" t="str">
        <f t="shared" si="82"/>
        <v/>
      </c>
      <c r="AE56" s="70" t="str">
        <f t="shared" si="83"/>
        <v/>
      </c>
      <c r="AF56" s="69" t="str">
        <f t="shared" si="84"/>
        <v/>
      </c>
      <c r="AG56" s="71" t="str">
        <f t="shared" si="85"/>
        <v/>
      </c>
      <c r="AH56" s="64"/>
      <c r="AI56" s="161"/>
      <c r="AJ56" s="64"/>
    </row>
    <row r="57" spans="1:36" ht="129.94999999999999" customHeight="1">
      <c r="A57" s="216">
        <v>33</v>
      </c>
      <c r="B57" s="217"/>
      <c r="C57" s="220"/>
      <c r="D57" s="225" t="s">
        <v>135</v>
      </c>
      <c r="E57" s="225" t="s">
        <v>156</v>
      </c>
      <c r="F57" s="225" t="s">
        <v>129</v>
      </c>
      <c r="G57" s="219" t="s">
        <v>279</v>
      </c>
      <c r="H57" s="213" t="s">
        <v>280</v>
      </c>
      <c r="I57" s="213" t="s">
        <v>281</v>
      </c>
      <c r="J57" s="4">
        <v>52</v>
      </c>
      <c r="K57" s="52" t="str">
        <f t="shared" si="9"/>
        <v>Media</v>
      </c>
      <c r="L57" s="54">
        <f t="shared" si="0"/>
        <v>0.6</v>
      </c>
      <c r="M57" s="55" t="s">
        <v>282</v>
      </c>
      <c r="N57" s="53" t="str">
        <f>IF(NOT(ISERROR(MATCH(M57,'Validacion de datos'!$H$14:$H$16,0))),'Validacion de datos'!$J$16&amp;"Por favor no seleccionar los criterios de impacto(Afectación Económica o presupuestal y Pérdida Reputacional)",M57)</f>
        <v xml:space="preserve">Entre 50 y 100 SMLMV </v>
      </c>
      <c r="O57" s="52" t="str">
        <f>IF(OR(N57=IMPACTO!$C$3,N57=IMPACTO!$D$3),"Leve",IF(OR(N57=IMPACTO!$C$4,N57=IMPACTO!$D$4),"Menor",IF(OR(N57=IMPACTO!$C$5,N57=IMPACTO!$D$5),"Moderado",IF(OR(N57=IMPACTO!$C$6,N57=IMPACTO!$D$6),"Mayor",IF(OR(N57=IMPACTO!$C$7,N57=IMPACTO!$D$7),"Catastrófico","")))))</f>
        <v>Moderado</v>
      </c>
      <c r="P57" s="54">
        <f t="shared" si="10"/>
        <v>0.6</v>
      </c>
      <c r="Q57" s="78" t="str">
        <f t="shared" si="17"/>
        <v>Moderado</v>
      </c>
      <c r="R57" s="39">
        <v>1</v>
      </c>
      <c r="S57" s="83" t="s">
        <v>283</v>
      </c>
      <c r="T57" s="236" t="s">
        <v>284</v>
      </c>
      <c r="U57" s="68" t="str">
        <f>IF(OR(V57="Preventivo",V57="Detectivo"),"Probabilidad",IF(V57="Correctivo","Impacto",""))</f>
        <v/>
      </c>
      <c r="V57" s="64"/>
      <c r="W57" s="64"/>
      <c r="X57" s="69" t="str">
        <f>IF(AND(V57="Preventivo",W57="Automática"),"50%",IF(AND(V57="Preventivo",W57="Manual"),"40%",IF(AND(V57="Detectivo",W57="Automática"),"40%",IF(AND(V57="Detectivo",W57="Manual"),"30%",IF(AND(V57="Correctivo",W57="Automática"),"35%",IF(AND(V57="Correctivo",W57="Manual"),"25%",""))))))</f>
        <v/>
      </c>
      <c r="Y57" s="64"/>
      <c r="Z57" s="64"/>
      <c r="AA57" s="64"/>
      <c r="AB57" s="65" t="str">
        <f t="shared" si="13"/>
        <v/>
      </c>
      <c r="AC57" s="70" t="str">
        <f t="shared" si="4"/>
        <v/>
      </c>
      <c r="AD57" s="75" t="str">
        <f t="shared" si="14"/>
        <v/>
      </c>
      <c r="AE57" s="70" t="str">
        <f t="shared" si="6"/>
        <v/>
      </c>
      <c r="AF57" s="69" t="str">
        <f t="shared" si="15"/>
        <v/>
      </c>
      <c r="AG57" s="71" t="str">
        <f t="shared" si="16"/>
        <v/>
      </c>
      <c r="AH57" s="64"/>
      <c r="AI57" s="161"/>
      <c r="AJ57" s="64"/>
    </row>
    <row r="58" spans="1:36" ht="129.94999999999999" customHeight="1">
      <c r="A58" s="217"/>
      <c r="B58" s="217"/>
      <c r="C58" s="220"/>
      <c r="D58" s="226"/>
      <c r="E58" s="226"/>
      <c r="F58" s="226"/>
      <c r="G58" s="220"/>
      <c r="H58" s="214"/>
      <c r="I58" s="214"/>
      <c r="J58" s="4">
        <v>52</v>
      </c>
      <c r="K58" s="52" t="str">
        <f t="shared" ref="K58:K65" si="86">IF(J58&lt;=0,"",IF(J58&lt;=2,"Muy Baja",IF(J58&lt;=24,"Baja",IF(J58&lt;=500,"Media",IF(J58&lt;=5000,"Alta","Muy Alta")))))</f>
        <v>Media</v>
      </c>
      <c r="L58" s="54">
        <f t="shared" ref="L58:L65" si="87">IF(K58="","",IF(K58="Muy Baja",0.2,IF(K58="Baja",0.4,IF(K58="Media",0.6,IF(K58="Alta",0.8,IF(K58="Muy Alta",1,))))))</f>
        <v>0.6</v>
      </c>
      <c r="M58" s="55" t="s">
        <v>282</v>
      </c>
      <c r="N58" s="53" t="str">
        <f>IF(NOT(ISERROR(MATCH(M58,'Validacion de datos'!$H$14:$H$16,0))),'Validacion de datos'!$J$16&amp;"Por favor no seleccionar los criterios de impacto(Afectación Económica o presupuestal y Pérdida Reputacional)",M58)</f>
        <v xml:space="preserve">Entre 50 y 100 SMLMV </v>
      </c>
      <c r="O58" s="52" t="str">
        <f>IF(OR(N58=IMPACTO!$C$3,N58=IMPACTO!$D$3),"Leve",IF(OR(N58=IMPACTO!$C$4,N58=IMPACTO!$D$4),"Menor",IF(OR(N58=IMPACTO!$C$5,N58=IMPACTO!$D$5),"Moderado",IF(OR(N58=IMPACTO!$C$6,N58=IMPACTO!$D$6),"Mayor",IF(OR(N58=IMPACTO!$C$7,N58=IMPACTO!$D$7),"Catastrófico","")))))</f>
        <v>Moderado</v>
      </c>
      <c r="P58" s="54">
        <f t="shared" ref="P58:P65" si="88">IF(O58="","",IF(O58="Leve",0.2,IF(O58="Menor",0.4,IF(O58="Moderado",0.6,IF(O58="Mayor",0.8,IF(O58="Catastrófico",1,))))))</f>
        <v>0.6</v>
      </c>
      <c r="Q58" s="78" t="str">
        <f t="shared" ref="Q58:Q65" si="89">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Moderado</v>
      </c>
      <c r="R58" s="39">
        <v>2</v>
      </c>
      <c r="S58" s="83" t="s">
        <v>285</v>
      </c>
      <c r="T58" s="230"/>
      <c r="U58" s="68" t="str">
        <f t="shared" ref="U58:U65" si="90">IF(OR(V58="Preventivo",V58="Detectivo"),"Probabilidad",IF(V58="Correctivo","Impacto",""))</f>
        <v/>
      </c>
      <c r="V58" s="64"/>
      <c r="W58" s="64"/>
      <c r="X58" s="69" t="str">
        <f t="shared" ref="X58:X65" si="91">IF(AND(V58="Preventivo",W58="Automática"),"50%",IF(AND(V58="Preventivo",W58="Manual"),"40%",IF(AND(V58="Detectivo",W58="Automática"),"40%",IF(AND(V58="Detectivo",W58="Manual"),"30%",IF(AND(V58="Correctivo",W58="Automática"),"35%",IF(AND(V58="Correctivo",W58="Manual"),"25%",""))))))</f>
        <v/>
      </c>
      <c r="Y58" s="64"/>
      <c r="Z58" s="64"/>
      <c r="AA58" s="64"/>
      <c r="AB58" s="65" t="str">
        <f t="shared" ref="AB58:AB65" si="92">IFERROR(IF(U58="Probabilidad",(L58-(+L58*X58)),IF(U58="Impacto",L58,"")),"")</f>
        <v/>
      </c>
      <c r="AC58" s="70" t="str">
        <f t="shared" ref="AC58:AC65" si="93">IFERROR(IF(AB58="","",IF(AB58&lt;=0.2,"Muy Baja",IF(AB58&lt;=0.4,"Baja",IF(AB58&lt;=0.6,"Media",IF(AB58&lt;=0.8,"Alta","Muy Alta"))))),"")</f>
        <v/>
      </c>
      <c r="AD58" s="75" t="str">
        <f t="shared" ref="AD58:AD65" si="94">+AB58</f>
        <v/>
      </c>
      <c r="AE58" s="70" t="str">
        <f t="shared" ref="AE58:AE65" si="95">IFERROR(IF(AF58="","",IF(AF58&lt;=0.2,"Leve",IF(AF58&lt;=0.4,"Menor",IF(AF58&lt;=0.6,"Moderado",IF(AF58&lt;=0.8,"Mayor","Catastrófico"))))),"")</f>
        <v/>
      </c>
      <c r="AF58" s="69" t="str">
        <f t="shared" ref="AF58:AF65" si="96">IFERROR(IF(U58="Impacto",(P58-(+P58*X58)),IF(U58="Probabilidad",P58,"")),"")</f>
        <v/>
      </c>
      <c r="AG58" s="71" t="str">
        <f t="shared" ref="AG58:AG65" si="97">IFERROR(IF(OR(AND(AC58="Muy Baja",AE58="Leve"),AND(AC58="Muy Baja",AE58="Menor"),AND(AC58="Baja",AE58="Leve")),"Bajo",IF(OR(AND(AC58="Muy baja",AE58="Moderado"),AND(AC58="Baja",AE58="Menor"),AND(AC58="Baja",AE58="Moderado"),AND(AC58="Media",AE58="Leve"),AND(AC58="Media",AE58="Menor"),AND(AC58="Media",AE58="Moderado"),AND(AC58="Alta",AE58="Leve"),AND(AC58="Alta",AE58="Menor")),"Moderado",IF(OR(AND(AC58="Muy Baja",AE58="Mayor"),AND(AC58="Baja",AE58="Mayor"),AND(AC58="Media",AE58="Mayor"),AND(AC58="Alta",AE58="Moderado"),AND(AC58="Alta",AE58="Mayor"),AND(AC58="Muy Alta",AE58="Leve"),AND(AC58="Muy Alta",AE58="Menor"),AND(AC58="Muy Alta",AE58="Moderado"),AND(AC58="Muy Alta",AE58="Mayor")),"Alto",IF(OR(AND(AC58="Muy Baja",AE58="Catastrófico"),AND(AC58="Baja",AE58="Catastrófico"),AND(AC58="Media",AE58="Catastrófico"),AND(AC58="Alta",AE58="Catastrófico"),AND(AC58="Muy Alta",AE58="Catastrófico")),"Extremo","")))),"")</f>
        <v/>
      </c>
      <c r="AH58" s="64"/>
      <c r="AI58" s="161"/>
      <c r="AJ58" s="64"/>
    </row>
    <row r="59" spans="1:36" ht="129.94999999999999" customHeight="1">
      <c r="A59" s="218"/>
      <c r="B59" s="217"/>
      <c r="C59" s="220"/>
      <c r="D59" s="227"/>
      <c r="E59" s="227"/>
      <c r="F59" s="227"/>
      <c r="G59" s="221"/>
      <c r="H59" s="215"/>
      <c r="I59" s="215"/>
      <c r="J59" s="4">
        <v>52</v>
      </c>
      <c r="K59" s="52" t="str">
        <f t="shared" si="86"/>
        <v>Media</v>
      </c>
      <c r="L59" s="54">
        <f t="shared" si="87"/>
        <v>0.6</v>
      </c>
      <c r="M59" s="55" t="s">
        <v>282</v>
      </c>
      <c r="N59" s="53" t="str">
        <f>IF(NOT(ISERROR(MATCH(M59,'Validacion de datos'!$H$14:$H$16,0))),'Validacion de datos'!$J$16&amp;"Por favor no seleccionar los criterios de impacto(Afectación Económica o presupuestal y Pérdida Reputacional)",M59)</f>
        <v xml:space="preserve">Entre 50 y 100 SMLMV </v>
      </c>
      <c r="O59" s="52" t="str">
        <f>IF(OR(N59=IMPACTO!$C$3,N59=IMPACTO!$D$3),"Leve",IF(OR(N59=IMPACTO!$C$4,N59=IMPACTO!$D$4),"Menor",IF(OR(N59=IMPACTO!$C$5,N59=IMPACTO!$D$5),"Moderado",IF(OR(N59=IMPACTO!$C$6,N59=IMPACTO!$D$6),"Mayor",IF(OR(N59=IMPACTO!$C$7,N59=IMPACTO!$D$7),"Catastrófico","")))))</f>
        <v>Moderado</v>
      </c>
      <c r="P59" s="54">
        <f t="shared" si="88"/>
        <v>0.6</v>
      </c>
      <c r="Q59" s="78" t="str">
        <f t="shared" si="89"/>
        <v>Moderado</v>
      </c>
      <c r="R59" s="39">
        <v>3</v>
      </c>
      <c r="S59" s="83" t="s">
        <v>286</v>
      </c>
      <c r="T59" s="231"/>
      <c r="U59" s="68" t="str">
        <f t="shared" si="90"/>
        <v/>
      </c>
      <c r="V59" s="64"/>
      <c r="W59" s="64"/>
      <c r="X59" s="69" t="str">
        <f t="shared" si="91"/>
        <v/>
      </c>
      <c r="Y59" s="64"/>
      <c r="Z59" s="64"/>
      <c r="AA59" s="64"/>
      <c r="AB59" s="65" t="str">
        <f t="shared" si="92"/>
        <v/>
      </c>
      <c r="AC59" s="70" t="str">
        <f t="shared" si="93"/>
        <v/>
      </c>
      <c r="AD59" s="75" t="str">
        <f t="shared" si="94"/>
        <v/>
      </c>
      <c r="AE59" s="70" t="str">
        <f t="shared" si="95"/>
        <v/>
      </c>
      <c r="AF59" s="69" t="str">
        <f t="shared" si="96"/>
        <v/>
      </c>
      <c r="AG59" s="71" t="str">
        <f t="shared" si="97"/>
        <v/>
      </c>
      <c r="AH59" s="64"/>
      <c r="AI59" s="161"/>
      <c r="AJ59" s="64"/>
    </row>
    <row r="60" spans="1:36" ht="123.6" customHeight="1">
      <c r="A60" s="216">
        <v>34</v>
      </c>
      <c r="B60" s="216" t="s">
        <v>287</v>
      </c>
      <c r="C60" s="219" t="str">
        <f>+IFERROR(VLOOKUP(B60,'Validacion de datos'!A:B,2,0),"")</f>
        <v>Diseñar y administrar el Sistema de gestión de seguridad y salud en el trabajo de la Empresa de Vivienda de Antioquia, mediante la ejecución de estrategias y métodos que permitan proteger la salud y la seguridad de todos los trabajadores, mediante la mejora continua, el control y monitoreo del mismo, asegurando el cumplimiento legal y el adecuado desempeño del SGSST.</v>
      </c>
      <c r="D60" s="225" t="s">
        <v>135</v>
      </c>
      <c r="E60" s="225"/>
      <c r="F60" s="225" t="s">
        <v>129</v>
      </c>
      <c r="G60" s="219" t="s">
        <v>288</v>
      </c>
      <c r="H60" s="213" t="s">
        <v>289</v>
      </c>
      <c r="I60" s="2" t="s">
        <v>290</v>
      </c>
      <c r="J60" s="4">
        <v>243</v>
      </c>
      <c r="K60" s="52" t="str">
        <f t="shared" si="86"/>
        <v>Media</v>
      </c>
      <c r="L60" s="54">
        <f t="shared" si="87"/>
        <v>0.6</v>
      </c>
      <c r="M60" s="55" t="s">
        <v>139</v>
      </c>
      <c r="N60" s="53" t="str">
        <f>IF(NOT(ISERROR(MATCH(M60,'Validacion de datos'!$H$14:$H$16,0))),'Validacion de datos'!$J$16&amp;"Por favor no seleccionar los criterios de impacto(Afectación Económica o presupuestal y Pérdida Reputacional)",M60)</f>
        <v xml:space="preserve">Entre 100 y 500 SMLMV </v>
      </c>
      <c r="O60" s="52" t="str">
        <f>IF(OR(N60=IMPACTO!$C$3,N60=IMPACTO!$D$3),"Leve",IF(OR(N60=IMPACTO!$C$4,N60=IMPACTO!$D$4),"Menor",IF(OR(N60=IMPACTO!$C$5,N60=IMPACTO!$D$5),"Moderado",IF(OR(N60=IMPACTO!$C$6,N60=IMPACTO!$D$6),"Mayor",IF(OR(N60=IMPACTO!$C$7,N60=IMPACTO!$D$7),"Catastrófico","")))))</f>
        <v>Mayor</v>
      </c>
      <c r="P60" s="54">
        <f t="shared" si="88"/>
        <v>0.8</v>
      </c>
      <c r="Q60" s="78" t="str">
        <f t="shared" si="89"/>
        <v>Alto</v>
      </c>
      <c r="R60" s="39">
        <v>1</v>
      </c>
      <c r="S60" s="40" t="s">
        <v>291</v>
      </c>
      <c r="T60" s="213" t="s">
        <v>292</v>
      </c>
      <c r="U60" s="68" t="str">
        <f t="shared" si="90"/>
        <v/>
      </c>
      <c r="V60" s="64"/>
      <c r="W60" s="64"/>
      <c r="X60" s="69" t="str">
        <f t="shared" si="91"/>
        <v/>
      </c>
      <c r="Y60" s="64"/>
      <c r="Z60" s="64"/>
      <c r="AA60" s="64"/>
      <c r="AB60" s="65" t="str">
        <f t="shared" si="92"/>
        <v/>
      </c>
      <c r="AC60" s="70" t="str">
        <f t="shared" si="93"/>
        <v/>
      </c>
      <c r="AD60" s="75" t="str">
        <f t="shared" si="94"/>
        <v/>
      </c>
      <c r="AE60" s="70" t="str">
        <f t="shared" si="95"/>
        <v/>
      </c>
      <c r="AF60" s="69" t="str">
        <f t="shared" si="96"/>
        <v/>
      </c>
      <c r="AG60" s="71" t="str">
        <f t="shared" si="97"/>
        <v/>
      </c>
      <c r="AH60" s="64"/>
      <c r="AI60" s="161"/>
      <c r="AJ60" s="64"/>
    </row>
    <row r="61" spans="1:36" ht="123.6" customHeight="1">
      <c r="A61" s="217"/>
      <c r="B61" s="217"/>
      <c r="C61" s="220"/>
      <c r="D61" s="226"/>
      <c r="E61" s="226"/>
      <c r="F61" s="226"/>
      <c r="G61" s="220"/>
      <c r="H61" s="214"/>
      <c r="I61" s="40" t="s">
        <v>293</v>
      </c>
      <c r="J61" s="4">
        <v>243</v>
      </c>
      <c r="K61" s="52" t="str">
        <f t="shared" si="86"/>
        <v>Media</v>
      </c>
      <c r="L61" s="54">
        <f t="shared" si="87"/>
        <v>0.6</v>
      </c>
      <c r="M61" s="55" t="s">
        <v>98</v>
      </c>
      <c r="N61" s="53" t="str">
        <f>IF(NOT(ISERROR(MATCH(M61,'Validacion de datos'!$H$14:$H$16,0))),'Validacion de datos'!$J$16&amp;"Por favor no seleccionar los criterios de impacto(Afectación Económica o presupuestal y Pérdida Reputacional)",M61)</f>
        <v>El riesgo afecta la imagen de alguna área de la organización</v>
      </c>
      <c r="O61" s="52" t="str">
        <f>IF(OR(N61=IMPACTO!$C$3,N61=IMPACTO!$D$3),"Leve",IF(OR(N61=IMPACTO!$C$4,N61=IMPACTO!$D$4),"Menor",IF(OR(N61=IMPACTO!$C$5,N61=IMPACTO!$D$5),"Moderado",IF(OR(N61=IMPACTO!$C$6,N61=IMPACTO!$D$6),"Mayor",IF(OR(N61=IMPACTO!$C$7,N61=IMPACTO!$D$7),"Catastrófico","")))))</f>
        <v>Leve</v>
      </c>
      <c r="P61" s="54">
        <f t="shared" si="88"/>
        <v>0.2</v>
      </c>
      <c r="Q61" s="78" t="str">
        <f t="shared" si="89"/>
        <v>Moderado</v>
      </c>
      <c r="R61" s="39">
        <v>2</v>
      </c>
      <c r="S61" s="40" t="s">
        <v>294</v>
      </c>
      <c r="T61" s="214"/>
      <c r="U61" s="68" t="str">
        <f t="shared" si="90"/>
        <v/>
      </c>
      <c r="V61" s="64"/>
      <c r="W61" s="64"/>
      <c r="X61" s="69" t="str">
        <f t="shared" si="91"/>
        <v/>
      </c>
      <c r="Y61" s="64"/>
      <c r="Z61" s="64"/>
      <c r="AA61" s="64"/>
      <c r="AB61" s="65" t="str">
        <f t="shared" si="92"/>
        <v/>
      </c>
      <c r="AC61" s="70" t="str">
        <f t="shared" si="93"/>
        <v/>
      </c>
      <c r="AD61" s="75" t="str">
        <f t="shared" si="94"/>
        <v/>
      </c>
      <c r="AE61" s="70" t="str">
        <f t="shared" si="95"/>
        <v/>
      </c>
      <c r="AF61" s="69" t="str">
        <f t="shared" si="96"/>
        <v/>
      </c>
      <c r="AG61" s="71" t="str">
        <f t="shared" si="97"/>
        <v/>
      </c>
      <c r="AH61" s="64"/>
      <c r="AI61" s="161"/>
      <c r="AJ61" s="64"/>
    </row>
    <row r="62" spans="1:36" ht="123.6" customHeight="1">
      <c r="A62" s="218"/>
      <c r="B62" s="217"/>
      <c r="C62" s="220"/>
      <c r="D62" s="227"/>
      <c r="E62" s="227"/>
      <c r="F62" s="227"/>
      <c r="G62" s="221"/>
      <c r="H62" s="215"/>
      <c r="I62" s="40" t="s">
        <v>295</v>
      </c>
      <c r="J62" s="4">
        <v>243</v>
      </c>
      <c r="K62" s="52" t="str">
        <f t="shared" si="86"/>
        <v>Media</v>
      </c>
      <c r="L62" s="54">
        <f t="shared" si="87"/>
        <v>0.6</v>
      </c>
      <c r="M62" s="55" t="s">
        <v>110</v>
      </c>
      <c r="N62" s="53" t="str">
        <f>IF(NOT(ISERROR(MATCH(M62,'Validacion de datos'!$H$14:$H$16,0))),'Validacion de datos'!$J$16&amp;"Por favor no seleccionar los criterios de impacto(Afectación Económica o presupuestal y Pérdida Reputacional)",M62)</f>
        <v>El riesgo afecta la imagen de la entidad con algunos usuarios de relevancia frente al logro de los objetivos</v>
      </c>
      <c r="O62" s="52" t="str">
        <f>IF(OR(N62=IMPACTO!$C$3,N62=IMPACTO!$D$3),"Leve",IF(OR(N62=IMPACTO!$C$4,N62=IMPACTO!$D$4),"Menor",IF(OR(N62=IMPACTO!$C$5,N62=IMPACTO!$D$5),"Moderado",IF(OR(N62=IMPACTO!$C$6,N62=IMPACTO!$D$6),"Mayor",IF(OR(N62=IMPACTO!$C$7,N62=IMPACTO!$D$7),"Catastrófico","")))))</f>
        <v>Moderado</v>
      </c>
      <c r="P62" s="54">
        <f t="shared" si="88"/>
        <v>0.6</v>
      </c>
      <c r="Q62" s="78" t="str">
        <f t="shared" si="89"/>
        <v>Moderado</v>
      </c>
      <c r="R62" s="39">
        <v>3</v>
      </c>
      <c r="S62" s="40" t="s">
        <v>296</v>
      </c>
      <c r="T62" s="214"/>
      <c r="U62" s="68" t="str">
        <f t="shared" si="90"/>
        <v/>
      </c>
      <c r="V62" s="64"/>
      <c r="W62" s="64"/>
      <c r="X62" s="69" t="str">
        <f t="shared" si="91"/>
        <v/>
      </c>
      <c r="Y62" s="64"/>
      <c r="Z62" s="64"/>
      <c r="AA62" s="64"/>
      <c r="AB62" s="65" t="str">
        <f t="shared" si="92"/>
        <v/>
      </c>
      <c r="AC62" s="70" t="str">
        <f t="shared" si="93"/>
        <v/>
      </c>
      <c r="AD62" s="75" t="str">
        <f t="shared" si="94"/>
        <v/>
      </c>
      <c r="AE62" s="70" t="str">
        <f t="shared" si="95"/>
        <v/>
      </c>
      <c r="AF62" s="69" t="str">
        <f t="shared" si="96"/>
        <v/>
      </c>
      <c r="AG62" s="71" t="str">
        <f t="shared" si="97"/>
        <v/>
      </c>
      <c r="AH62" s="64"/>
      <c r="AI62" s="161"/>
      <c r="AJ62" s="64"/>
    </row>
    <row r="63" spans="1:36" ht="123.6" customHeight="1">
      <c r="A63" s="1">
        <v>35</v>
      </c>
      <c r="B63" s="217"/>
      <c r="C63" s="220"/>
      <c r="D63" s="7" t="s">
        <v>135</v>
      </c>
      <c r="E63" s="7" t="s">
        <v>142</v>
      </c>
      <c r="F63" s="7" t="s">
        <v>94</v>
      </c>
      <c r="G63" s="19" t="s">
        <v>297</v>
      </c>
      <c r="H63" s="40" t="s">
        <v>298</v>
      </c>
      <c r="I63" s="2" t="s">
        <v>299</v>
      </c>
      <c r="J63" s="4">
        <v>5</v>
      </c>
      <c r="K63" s="52" t="str">
        <f t="shared" si="86"/>
        <v>Baja</v>
      </c>
      <c r="L63" s="54">
        <f t="shared" si="87"/>
        <v>0.4</v>
      </c>
      <c r="M63" s="55" t="s">
        <v>139</v>
      </c>
      <c r="N63" s="53" t="str">
        <f>IF(NOT(ISERROR(MATCH(M63,'Validacion de datos'!$H$14:$H$16,0))),'Validacion de datos'!$J$16&amp;"Por favor no seleccionar los criterios de impacto(Afectación Económica o presupuestal y Pérdida Reputacional)",M63)</f>
        <v xml:space="preserve">Entre 100 y 500 SMLMV </v>
      </c>
      <c r="O63" s="52" t="str">
        <f>IF(OR(N63=IMPACTO!$C$3,N63=IMPACTO!$D$3),"Leve",IF(OR(N63=IMPACTO!$C$4,N63=IMPACTO!$D$4),"Menor",IF(OR(N63=IMPACTO!$C$5,N63=IMPACTO!$D$5),"Moderado",IF(OR(N63=IMPACTO!$C$6,N63=IMPACTO!$D$6),"Mayor",IF(OR(N63=IMPACTO!$C$7,N63=IMPACTO!$D$7),"Catastrófico","")))))</f>
        <v>Mayor</v>
      </c>
      <c r="P63" s="54">
        <f t="shared" si="88"/>
        <v>0.8</v>
      </c>
      <c r="Q63" s="78" t="str">
        <f t="shared" si="89"/>
        <v>Alto</v>
      </c>
      <c r="R63" s="39">
        <v>1</v>
      </c>
      <c r="S63" s="83" t="s">
        <v>300</v>
      </c>
      <c r="T63" s="214"/>
      <c r="U63" s="68" t="str">
        <f t="shared" si="90"/>
        <v/>
      </c>
      <c r="V63" s="64"/>
      <c r="W63" s="64"/>
      <c r="X63" s="69" t="str">
        <f t="shared" si="91"/>
        <v/>
      </c>
      <c r="Y63" s="64"/>
      <c r="Z63" s="64"/>
      <c r="AA63" s="64"/>
      <c r="AB63" s="65" t="str">
        <f t="shared" si="92"/>
        <v/>
      </c>
      <c r="AC63" s="70" t="str">
        <f t="shared" si="93"/>
        <v/>
      </c>
      <c r="AD63" s="75" t="str">
        <f t="shared" si="94"/>
        <v/>
      </c>
      <c r="AE63" s="70" t="str">
        <f t="shared" si="95"/>
        <v/>
      </c>
      <c r="AF63" s="69" t="str">
        <f t="shared" si="96"/>
        <v/>
      </c>
      <c r="AG63" s="71" t="str">
        <f t="shared" si="97"/>
        <v/>
      </c>
      <c r="AH63" s="64"/>
      <c r="AI63" s="161"/>
      <c r="AJ63" s="64"/>
    </row>
    <row r="64" spans="1:36" ht="123.6" customHeight="1">
      <c r="A64" s="216">
        <v>36</v>
      </c>
      <c r="B64" s="217"/>
      <c r="C64" s="220"/>
      <c r="D64" s="225" t="s">
        <v>135</v>
      </c>
      <c r="E64" s="225" t="s">
        <v>142</v>
      </c>
      <c r="F64" s="225" t="s">
        <v>129</v>
      </c>
      <c r="G64" s="237" t="s">
        <v>301</v>
      </c>
      <c r="H64" s="233" t="s">
        <v>302</v>
      </c>
      <c r="I64" s="2" t="s">
        <v>303</v>
      </c>
      <c r="J64" s="4">
        <v>1</v>
      </c>
      <c r="K64" s="52" t="str">
        <f t="shared" si="86"/>
        <v>Muy Baja</v>
      </c>
      <c r="L64" s="54">
        <f t="shared" si="87"/>
        <v>0.2</v>
      </c>
      <c r="M64" s="55" t="s">
        <v>282</v>
      </c>
      <c r="N64" s="53" t="str">
        <f>IF(NOT(ISERROR(MATCH(M64,'Validacion de datos'!$H$14:$H$16,0))),'Validacion de datos'!$J$16&amp;"Por favor no seleccionar los criterios de impacto(Afectación Económica o presupuestal y Pérdida Reputacional)",M64)</f>
        <v xml:space="preserve">Entre 50 y 100 SMLMV </v>
      </c>
      <c r="O64" s="52" t="str">
        <f>IF(OR(N64=IMPACTO!$C$3,N64=IMPACTO!$D$3),"Leve",IF(OR(N64=IMPACTO!$C$4,N64=IMPACTO!$D$4),"Menor",IF(OR(N64=IMPACTO!$C$5,N64=IMPACTO!$D$5),"Moderado",IF(OR(N64=IMPACTO!$C$6,N64=IMPACTO!$D$6),"Mayor",IF(OR(N64=IMPACTO!$C$7,N64=IMPACTO!$D$7),"Catastrófico","")))))</f>
        <v>Moderado</v>
      </c>
      <c r="P64" s="54">
        <f t="shared" si="88"/>
        <v>0.6</v>
      </c>
      <c r="Q64" s="78" t="str">
        <f t="shared" si="89"/>
        <v>Moderado</v>
      </c>
      <c r="R64" s="39">
        <v>1</v>
      </c>
      <c r="S64" s="40" t="s">
        <v>304</v>
      </c>
      <c r="T64" s="214"/>
      <c r="U64" s="68" t="str">
        <f t="shared" si="90"/>
        <v/>
      </c>
      <c r="V64" s="64"/>
      <c r="W64" s="64"/>
      <c r="X64" s="69" t="str">
        <f t="shared" si="91"/>
        <v/>
      </c>
      <c r="Y64" s="64"/>
      <c r="Z64" s="64"/>
      <c r="AA64" s="64"/>
      <c r="AB64" s="65" t="str">
        <f t="shared" si="92"/>
        <v/>
      </c>
      <c r="AC64" s="70" t="str">
        <f t="shared" si="93"/>
        <v/>
      </c>
      <c r="AD64" s="75" t="str">
        <f t="shared" si="94"/>
        <v/>
      </c>
      <c r="AE64" s="70" t="str">
        <f t="shared" si="95"/>
        <v/>
      </c>
      <c r="AF64" s="69" t="str">
        <f t="shared" si="96"/>
        <v/>
      </c>
      <c r="AG64" s="71" t="str">
        <f t="shared" si="97"/>
        <v/>
      </c>
      <c r="AH64" s="64"/>
      <c r="AI64" s="161"/>
      <c r="AJ64" s="64"/>
    </row>
    <row r="65" spans="1:36" ht="123.6" customHeight="1">
      <c r="A65" s="218"/>
      <c r="B65" s="218"/>
      <c r="C65" s="221"/>
      <c r="D65" s="227"/>
      <c r="E65" s="227"/>
      <c r="F65" s="227"/>
      <c r="G65" s="238"/>
      <c r="H65" s="235"/>
      <c r="I65" s="2" t="s">
        <v>305</v>
      </c>
      <c r="J65" s="4">
        <v>243</v>
      </c>
      <c r="K65" s="52" t="str">
        <f t="shared" si="86"/>
        <v>Media</v>
      </c>
      <c r="L65" s="54">
        <f t="shared" si="87"/>
        <v>0.6</v>
      </c>
      <c r="M65" s="55" t="s">
        <v>282</v>
      </c>
      <c r="N65" s="53" t="str">
        <f>IF(NOT(ISERROR(MATCH(M65,'Validacion de datos'!$H$14:$H$16,0))),'Validacion de datos'!$J$16&amp;"Por favor no seleccionar los criterios de impacto(Afectación Económica o presupuestal y Pérdida Reputacional)",M65)</f>
        <v xml:space="preserve">Entre 50 y 100 SMLMV </v>
      </c>
      <c r="O65" s="52" t="str">
        <f>IF(OR(N65=IMPACTO!$C$3,N65=IMPACTO!$D$3),"Leve",IF(OR(N65=IMPACTO!$C$4,N65=IMPACTO!$D$4),"Menor",IF(OR(N65=IMPACTO!$C$5,N65=IMPACTO!$D$5),"Moderado",IF(OR(N65=IMPACTO!$C$6,N65=IMPACTO!$D$6),"Mayor",IF(OR(N65=IMPACTO!$C$7,N65=IMPACTO!$D$7),"Catastrófico","")))))</f>
        <v>Moderado</v>
      </c>
      <c r="P65" s="54">
        <f t="shared" si="88"/>
        <v>0.6</v>
      </c>
      <c r="Q65" s="78" t="str">
        <f t="shared" si="89"/>
        <v>Moderado</v>
      </c>
      <c r="R65" s="39">
        <v>2</v>
      </c>
      <c r="S65" s="83" t="s">
        <v>306</v>
      </c>
      <c r="T65" s="215"/>
      <c r="U65" s="68" t="str">
        <f t="shared" si="90"/>
        <v/>
      </c>
      <c r="V65" s="64"/>
      <c r="W65" s="64"/>
      <c r="X65" s="69" t="str">
        <f t="shared" si="91"/>
        <v/>
      </c>
      <c r="Y65" s="64"/>
      <c r="Z65" s="64"/>
      <c r="AA65" s="64"/>
      <c r="AB65" s="65" t="str">
        <f t="shared" si="92"/>
        <v/>
      </c>
      <c r="AC65" s="70" t="str">
        <f t="shared" si="93"/>
        <v/>
      </c>
      <c r="AD65" s="75" t="str">
        <f t="shared" si="94"/>
        <v/>
      </c>
      <c r="AE65" s="70" t="str">
        <f t="shared" si="95"/>
        <v/>
      </c>
      <c r="AF65" s="69" t="str">
        <f t="shared" si="96"/>
        <v/>
      </c>
      <c r="AG65" s="71" t="str">
        <f t="shared" si="97"/>
        <v/>
      </c>
      <c r="AH65" s="64"/>
      <c r="AI65" s="161"/>
      <c r="AJ65" s="64"/>
    </row>
    <row r="66" spans="1:36" ht="41.45">
      <c r="A66" s="216">
        <v>37</v>
      </c>
      <c r="B66" s="216" t="s">
        <v>307</v>
      </c>
      <c r="C66" s="219" t="str">
        <f>+IFERROR(VLOOKUP(B66,'Validacion de datos'!A:B,2,0),"")</f>
        <v>Administrar los recursos financieros de forma eficaz y eficiente para cumplir con las obligaciones de la Entidad en los diferentes procesos, respondiendo oportunamente a los requerimientos de los grupos de valor.</v>
      </c>
      <c r="D66" s="225" t="s">
        <v>106</v>
      </c>
      <c r="E66" s="225" t="s">
        <v>142</v>
      </c>
      <c r="F66" s="225" t="s">
        <v>94</v>
      </c>
      <c r="G66" s="219" t="s">
        <v>308</v>
      </c>
      <c r="H66" s="213" t="s">
        <v>309</v>
      </c>
      <c r="I66" s="213" t="s">
        <v>310</v>
      </c>
      <c r="J66" s="4">
        <v>4</v>
      </c>
      <c r="K66" s="52" t="str">
        <f t="shared" si="9"/>
        <v>Baja</v>
      </c>
      <c r="L66" s="54">
        <f t="shared" si="0"/>
        <v>0.4</v>
      </c>
      <c r="M66" s="55" t="s">
        <v>110</v>
      </c>
      <c r="N66" s="53" t="str">
        <f>IF(NOT(ISERROR(MATCH(M66,'Validacion de datos'!$H$14:$H$16,0))),'Validacion de datos'!$J$16&amp;"Por favor no seleccionar los criterios de impacto(Afectación Económica o presupuestal y Pérdida Reputacional)",M66)</f>
        <v>El riesgo afecta la imagen de la entidad con algunos usuarios de relevancia frente al logro de los objetivos</v>
      </c>
      <c r="O66" s="52" t="str">
        <f>IF(OR(N66=IMPACTO!$C$3,N66=IMPACTO!$D$3),"Leve",IF(OR(N66=IMPACTO!$C$4,N66=IMPACTO!$D$4),"Menor",IF(OR(N66=IMPACTO!$C$5,N66=IMPACTO!$D$5),"Moderado",IF(OR(N66=IMPACTO!$C$6,N66=IMPACTO!$D$6),"Mayor",IF(OR(N66=IMPACTO!$C$7,N66=IMPACTO!$D$7),"Catastrófico","")))))</f>
        <v>Moderado</v>
      </c>
      <c r="P66" s="54">
        <f t="shared" si="10"/>
        <v>0.6</v>
      </c>
      <c r="Q66" s="78" t="str">
        <f t="shared" si="17"/>
        <v>Moderado</v>
      </c>
      <c r="R66" s="39">
        <v>1</v>
      </c>
      <c r="S66" s="83" t="s">
        <v>311</v>
      </c>
      <c r="T66" s="213" t="s">
        <v>312</v>
      </c>
      <c r="U66" s="68" t="str">
        <f t="shared" si="1"/>
        <v/>
      </c>
      <c r="V66" s="64"/>
      <c r="W66" s="64"/>
      <c r="X66" s="69" t="str">
        <f t="shared" si="12"/>
        <v/>
      </c>
      <c r="Y66" s="64"/>
      <c r="Z66" s="64"/>
      <c r="AA66" s="64"/>
      <c r="AB66" s="65" t="str">
        <f t="shared" si="13"/>
        <v/>
      </c>
      <c r="AC66" s="70" t="str">
        <f t="shared" si="4"/>
        <v/>
      </c>
      <c r="AD66" s="75" t="str">
        <f t="shared" si="14"/>
        <v/>
      </c>
      <c r="AE66" s="70" t="str">
        <f t="shared" si="6"/>
        <v/>
      </c>
      <c r="AF66" s="69" t="str">
        <f t="shared" si="15"/>
        <v/>
      </c>
      <c r="AG66" s="71" t="str">
        <f t="shared" si="16"/>
        <v/>
      </c>
      <c r="AH66" s="64"/>
      <c r="AI66" s="161"/>
      <c r="AJ66" s="64"/>
    </row>
    <row r="67" spans="1:36" ht="41.45">
      <c r="A67" s="217"/>
      <c r="B67" s="217"/>
      <c r="C67" s="220"/>
      <c r="D67" s="226"/>
      <c r="E67" s="226"/>
      <c r="F67" s="226"/>
      <c r="G67" s="220"/>
      <c r="H67" s="214"/>
      <c r="I67" s="214"/>
      <c r="J67" s="4">
        <v>4</v>
      </c>
      <c r="K67" s="52" t="str">
        <f t="shared" ref="K67:K68" si="98">IF(J67&lt;=0,"",IF(J67&lt;=2,"Muy Baja",IF(J67&lt;=24,"Baja",IF(J67&lt;=500,"Media",IF(J67&lt;=5000,"Alta","Muy Alta")))))</f>
        <v>Baja</v>
      </c>
      <c r="L67" s="54">
        <f t="shared" ref="L67:L68" si="99">IF(K67="","",IF(K67="Muy Baja",0.2,IF(K67="Baja",0.4,IF(K67="Media",0.6,IF(K67="Alta",0.8,IF(K67="Muy Alta",1,))))))</f>
        <v>0.4</v>
      </c>
      <c r="M67" s="55" t="s">
        <v>110</v>
      </c>
      <c r="N67" s="53" t="str">
        <f>IF(NOT(ISERROR(MATCH(M67,'Validacion de datos'!$H$14:$H$16,0))),'Validacion de datos'!$J$16&amp;"Por favor no seleccionar los criterios de impacto(Afectación Económica o presupuestal y Pérdida Reputacional)",M67)</f>
        <v>El riesgo afecta la imagen de la entidad con algunos usuarios de relevancia frente al logro de los objetivos</v>
      </c>
      <c r="O67" s="52" t="str">
        <f>IF(OR(N67=IMPACTO!$C$3,N67=IMPACTO!$D$3),"Leve",IF(OR(N67=IMPACTO!$C$4,N67=IMPACTO!$D$4),"Menor",IF(OR(N67=IMPACTO!$C$5,N67=IMPACTO!$D$5),"Moderado",IF(OR(N67=IMPACTO!$C$6,N67=IMPACTO!$D$6),"Mayor",IF(OR(N67=IMPACTO!$C$7,N67=IMPACTO!$D$7),"Catastrófico","")))))</f>
        <v>Moderado</v>
      </c>
      <c r="P67" s="54">
        <f t="shared" ref="P67:P68" si="100">IF(O67="","",IF(O67="Leve",0.2,IF(O67="Menor",0.4,IF(O67="Moderado",0.6,IF(O67="Mayor",0.8,IF(O67="Catastrófico",1,))))))</f>
        <v>0.6</v>
      </c>
      <c r="Q67" s="78" t="str">
        <f t="shared" ref="Q67:Q68" si="101">IF(OR(AND(K67="Muy Baja",O67="Leve"),AND(K67="Muy Baja",O67="Menor"),AND(K67="Baja",O67="Leve")),"Bajo",IF(OR(AND(K67="Muy baja",O67="Moderado"),AND(K67="Baja",O67="Menor"),AND(K67="Baja",O67="Moderado"),AND(K67="Media",O67="Leve"),AND(K67="Media",O67="Menor"),AND(K67="Media",O67="Moderado"),AND(K67="Alta",O67="Leve"),AND(K67="Alta",O67="Menor")),"Moderado",IF(OR(AND(K67="Muy Baja",O67="Mayor"),AND(K67="Baja",O67="Mayor"),AND(K67="Media",O67="Mayor"),AND(K67="Alta",O67="Moderado"),AND(K67="Alta",O67="Mayor"),AND(K67="Muy Alta",O67="Leve"),AND(K67="Muy Alta",O67="Menor"),AND(K67="Muy Alta",O67="Moderado"),AND(K67="Muy Alta",O67="Mayor")),"Alto",IF(OR(AND(K67="Muy Baja",O67="Catastrófico"),AND(K67="Baja",O67="Catastrófico"),AND(K67="Media",O67="Catastrófico"),AND(K67="Alta",O67="Catastrófico"),AND(K67="Muy Alta",O67="Catastrófico")),"Extremo",""))))</f>
        <v>Moderado</v>
      </c>
      <c r="R67" s="39">
        <v>2</v>
      </c>
      <c r="S67" s="83" t="s">
        <v>313</v>
      </c>
      <c r="T67" s="214"/>
      <c r="U67" s="68" t="str">
        <f t="shared" ref="U67:U68" si="102">IF(OR(V67="Preventivo",V67="Detectivo"),"Probabilidad",IF(V67="Correctivo","Impacto",""))</f>
        <v/>
      </c>
      <c r="V67" s="64"/>
      <c r="W67" s="64"/>
      <c r="X67" s="69" t="str">
        <f t="shared" ref="X67:X68" si="103">IF(AND(V67="Preventivo",W67="Automática"),"50%",IF(AND(V67="Preventivo",W67="Manual"),"40%",IF(AND(V67="Detectivo",W67="Automática"),"40%",IF(AND(V67="Detectivo",W67="Manual"),"30%",IF(AND(V67="Correctivo",W67="Automática"),"35%",IF(AND(V67="Correctivo",W67="Manual"),"25%",""))))))</f>
        <v/>
      </c>
      <c r="Y67" s="64"/>
      <c r="Z67" s="64"/>
      <c r="AA67" s="64"/>
      <c r="AB67" s="65" t="str">
        <f t="shared" ref="AB67:AB68" si="104">IFERROR(IF(U67="Probabilidad",(L67-(+L67*X67)),IF(U67="Impacto",L67,"")),"")</f>
        <v/>
      </c>
      <c r="AC67" s="70" t="str">
        <f t="shared" ref="AC67:AC68" si="105">IFERROR(IF(AB67="","",IF(AB67&lt;=0.2,"Muy Baja",IF(AB67&lt;=0.4,"Baja",IF(AB67&lt;=0.6,"Media",IF(AB67&lt;=0.8,"Alta","Muy Alta"))))),"")</f>
        <v/>
      </c>
      <c r="AD67" s="75" t="str">
        <f t="shared" ref="AD67:AD68" si="106">+AB67</f>
        <v/>
      </c>
      <c r="AE67" s="70" t="str">
        <f t="shared" ref="AE67:AE68" si="107">IFERROR(IF(AF67="","",IF(AF67&lt;=0.2,"Leve",IF(AF67&lt;=0.4,"Menor",IF(AF67&lt;=0.6,"Moderado",IF(AF67&lt;=0.8,"Mayor","Catastrófico"))))),"")</f>
        <v/>
      </c>
      <c r="AF67" s="69" t="str">
        <f t="shared" ref="AF67:AF68" si="108">IFERROR(IF(U67="Impacto",(P67-(+P67*X67)),IF(U67="Probabilidad",P67,"")),"")</f>
        <v/>
      </c>
      <c r="AG67" s="71" t="str">
        <f t="shared" ref="AG67:AG68" si="109">IFERROR(IF(OR(AND(AC67="Muy Baja",AE67="Leve"),AND(AC67="Muy Baja",AE67="Menor"),AND(AC67="Baja",AE67="Leve")),"Bajo",IF(OR(AND(AC67="Muy baja",AE67="Moderado"),AND(AC67="Baja",AE67="Menor"),AND(AC67="Baja",AE67="Moderado"),AND(AC67="Media",AE67="Leve"),AND(AC67="Media",AE67="Menor"),AND(AC67="Media",AE67="Moderado"),AND(AC67="Alta",AE67="Leve"),AND(AC67="Alta",AE67="Menor")),"Moderado",IF(OR(AND(AC67="Muy Baja",AE67="Mayor"),AND(AC67="Baja",AE67="Mayor"),AND(AC67="Media",AE67="Mayor"),AND(AC67="Alta",AE67="Moderado"),AND(AC67="Alta",AE67="Mayor"),AND(AC67="Muy Alta",AE67="Leve"),AND(AC67="Muy Alta",AE67="Menor"),AND(AC67="Muy Alta",AE67="Moderado"),AND(AC67="Muy Alta",AE67="Mayor")),"Alto",IF(OR(AND(AC67="Muy Baja",AE67="Catastrófico"),AND(AC67="Baja",AE67="Catastrófico"),AND(AC67="Media",AE67="Catastrófico"),AND(AC67="Alta",AE67="Catastrófico"),AND(AC67="Muy Alta",AE67="Catastrófico")),"Extremo","")))),"")</f>
        <v/>
      </c>
      <c r="AH67" s="64"/>
      <c r="AI67" s="161"/>
      <c r="AJ67" s="64"/>
    </row>
    <row r="68" spans="1:36" ht="41.45">
      <c r="A68" s="218"/>
      <c r="B68" s="217"/>
      <c r="C68" s="220"/>
      <c r="D68" s="227"/>
      <c r="E68" s="227"/>
      <c r="F68" s="227"/>
      <c r="G68" s="221"/>
      <c r="H68" s="215"/>
      <c r="I68" s="215"/>
      <c r="J68" s="4">
        <v>4</v>
      </c>
      <c r="K68" s="52" t="str">
        <f t="shared" si="98"/>
        <v>Baja</v>
      </c>
      <c r="L68" s="54">
        <f t="shared" si="99"/>
        <v>0.4</v>
      </c>
      <c r="M68" s="55" t="s">
        <v>110</v>
      </c>
      <c r="N68" s="53" t="str">
        <f>IF(NOT(ISERROR(MATCH(M68,'Validacion de datos'!$H$14:$H$16,0))),'Validacion de datos'!$J$16&amp;"Por favor no seleccionar los criterios de impacto(Afectación Económica o presupuestal y Pérdida Reputacional)",M68)</f>
        <v>El riesgo afecta la imagen de la entidad con algunos usuarios de relevancia frente al logro de los objetivos</v>
      </c>
      <c r="O68" s="52" t="str">
        <f>IF(OR(N68=IMPACTO!$C$3,N68=IMPACTO!$D$3),"Leve",IF(OR(N68=IMPACTO!$C$4,N68=IMPACTO!$D$4),"Menor",IF(OR(N68=IMPACTO!$C$5,N68=IMPACTO!$D$5),"Moderado",IF(OR(N68=IMPACTO!$C$6,N68=IMPACTO!$D$6),"Mayor",IF(OR(N68=IMPACTO!$C$7,N68=IMPACTO!$D$7),"Catastrófico","")))))</f>
        <v>Moderado</v>
      </c>
      <c r="P68" s="54">
        <f t="shared" si="100"/>
        <v>0.6</v>
      </c>
      <c r="Q68" s="78" t="str">
        <f t="shared" si="101"/>
        <v>Moderado</v>
      </c>
      <c r="R68" s="39">
        <v>3</v>
      </c>
      <c r="S68" s="83" t="s">
        <v>314</v>
      </c>
      <c r="T68" s="215"/>
      <c r="U68" s="68" t="str">
        <f t="shared" si="102"/>
        <v/>
      </c>
      <c r="V68" s="64"/>
      <c r="W68" s="64"/>
      <c r="X68" s="69" t="str">
        <f t="shared" si="103"/>
        <v/>
      </c>
      <c r="Y68" s="64"/>
      <c r="Z68" s="64"/>
      <c r="AA68" s="64"/>
      <c r="AB68" s="65" t="str">
        <f t="shared" si="104"/>
        <v/>
      </c>
      <c r="AC68" s="70" t="str">
        <f t="shared" si="105"/>
        <v/>
      </c>
      <c r="AD68" s="75" t="str">
        <f t="shared" si="106"/>
        <v/>
      </c>
      <c r="AE68" s="70" t="str">
        <f t="shared" si="107"/>
        <v/>
      </c>
      <c r="AF68" s="69" t="str">
        <f t="shared" si="108"/>
        <v/>
      </c>
      <c r="AG68" s="71" t="str">
        <f t="shared" si="109"/>
        <v/>
      </c>
      <c r="AH68" s="64"/>
      <c r="AI68" s="161"/>
      <c r="AJ68" s="64"/>
    </row>
    <row r="69" spans="1:36" ht="55.15">
      <c r="A69" s="216">
        <v>38</v>
      </c>
      <c r="B69" s="217"/>
      <c r="C69" s="220"/>
      <c r="D69" s="225" t="s">
        <v>106</v>
      </c>
      <c r="E69" s="225" t="s">
        <v>142</v>
      </c>
      <c r="F69" s="225" t="s">
        <v>129</v>
      </c>
      <c r="G69" s="219" t="s">
        <v>315</v>
      </c>
      <c r="H69" s="213" t="s">
        <v>316</v>
      </c>
      <c r="I69" s="40" t="s">
        <v>317</v>
      </c>
      <c r="J69" s="4">
        <v>243</v>
      </c>
      <c r="K69" s="52" t="str">
        <f t="shared" si="9"/>
        <v>Media</v>
      </c>
      <c r="L69" s="54">
        <f t="shared" si="0"/>
        <v>0.6</v>
      </c>
      <c r="M69" s="55" t="s">
        <v>98</v>
      </c>
      <c r="N69" s="53" t="str">
        <f>IF(NOT(ISERROR(MATCH(M69,'Validacion de datos'!$H$14:$H$16,0))),'Validacion de datos'!$J$16&amp;"Por favor no seleccionar los criterios de impacto(Afectación Económica o presupuestal y Pérdida Reputacional)",M69)</f>
        <v>El riesgo afecta la imagen de alguna área de la organización</v>
      </c>
      <c r="O69" s="52" t="str">
        <f>IF(OR(N69=IMPACTO!$C$3,N69=IMPACTO!$D$3),"Leve",IF(OR(N69=IMPACTO!$C$4,N69=IMPACTO!$D$4),"Menor",IF(OR(N69=IMPACTO!$C$5,N69=IMPACTO!$D$5),"Moderado",IF(OR(N69=IMPACTO!$C$6,N69=IMPACTO!$D$6),"Mayor",IF(OR(N69=IMPACTO!$C$7,N69=IMPACTO!$D$7),"Catastrófico","")))))</f>
        <v>Leve</v>
      </c>
      <c r="P69" s="54">
        <f t="shared" si="10"/>
        <v>0.2</v>
      </c>
      <c r="Q69" s="78" t="str">
        <f t="shared" si="17"/>
        <v>Moderado</v>
      </c>
      <c r="R69" s="39">
        <v>1</v>
      </c>
      <c r="S69" s="83" t="s">
        <v>318</v>
      </c>
      <c r="T69" s="213" t="s">
        <v>312</v>
      </c>
      <c r="U69" s="68" t="str">
        <f t="shared" si="1"/>
        <v/>
      </c>
      <c r="V69" s="64"/>
      <c r="W69" s="64"/>
      <c r="X69" s="69" t="str">
        <f t="shared" si="12"/>
        <v/>
      </c>
      <c r="Y69" s="64"/>
      <c r="Z69" s="64"/>
      <c r="AA69" s="64"/>
      <c r="AB69" s="65" t="str">
        <f t="shared" si="13"/>
        <v/>
      </c>
      <c r="AC69" s="70" t="str">
        <f t="shared" si="4"/>
        <v/>
      </c>
      <c r="AD69" s="75" t="str">
        <f t="shared" si="14"/>
        <v/>
      </c>
      <c r="AE69" s="70" t="str">
        <f t="shared" si="6"/>
        <v/>
      </c>
      <c r="AF69" s="69" t="str">
        <f t="shared" si="15"/>
        <v/>
      </c>
      <c r="AG69" s="71" t="str">
        <f t="shared" si="16"/>
        <v/>
      </c>
      <c r="AH69" s="64"/>
      <c r="AI69" s="161"/>
      <c r="AJ69" s="64"/>
    </row>
    <row r="70" spans="1:36" ht="55.15">
      <c r="A70" s="217"/>
      <c r="B70" s="217"/>
      <c r="C70" s="220"/>
      <c r="D70" s="226"/>
      <c r="E70" s="226"/>
      <c r="F70" s="226"/>
      <c r="G70" s="220"/>
      <c r="H70" s="214"/>
      <c r="I70" s="40" t="s">
        <v>319</v>
      </c>
      <c r="J70" s="4">
        <v>243</v>
      </c>
      <c r="K70" s="52" t="str">
        <f t="shared" ref="K70:K73" si="110">IF(J70&lt;=0,"",IF(J70&lt;=2,"Muy Baja",IF(J70&lt;=24,"Baja",IF(J70&lt;=500,"Media",IF(J70&lt;=5000,"Alta","Muy Alta")))))</f>
        <v>Media</v>
      </c>
      <c r="L70" s="54">
        <f t="shared" ref="L70:L73" si="111">IF(K70="","",IF(K70="Muy Baja",0.2,IF(K70="Baja",0.4,IF(K70="Media",0.6,IF(K70="Alta",0.8,IF(K70="Muy Alta",1,))))))</f>
        <v>0.6</v>
      </c>
      <c r="M70" s="55" t="s">
        <v>282</v>
      </c>
      <c r="N70" s="53" t="str">
        <f>IF(NOT(ISERROR(MATCH(M70,'Validacion de datos'!$H$14:$H$16,0))),'Validacion de datos'!$J$16&amp;"Por favor no seleccionar los criterios de impacto(Afectación Económica o presupuestal y Pérdida Reputacional)",M70)</f>
        <v xml:space="preserve">Entre 50 y 100 SMLMV </v>
      </c>
      <c r="O70" s="52" t="str">
        <f>IF(OR(N70=IMPACTO!$C$3,N70=IMPACTO!$D$3),"Leve",IF(OR(N70=IMPACTO!$C$4,N70=IMPACTO!$D$4),"Menor",IF(OR(N70=IMPACTO!$C$5,N70=IMPACTO!$D$5),"Moderado",IF(OR(N70=IMPACTO!$C$6,N70=IMPACTO!$D$6),"Mayor",IF(OR(N70=IMPACTO!$C$7,N70=IMPACTO!$D$7),"Catastrófico","")))))</f>
        <v>Moderado</v>
      </c>
      <c r="P70" s="54">
        <f t="shared" ref="P70:P73" si="112">IF(O70="","",IF(O70="Leve",0.2,IF(O70="Menor",0.4,IF(O70="Moderado",0.6,IF(O70="Mayor",0.8,IF(O70="Catastrófico",1,))))))</f>
        <v>0.6</v>
      </c>
      <c r="Q70" s="78" t="str">
        <f t="shared" ref="Q70:Q73" si="113">IF(OR(AND(K70="Muy Baja",O70="Leve"),AND(K70="Muy Baja",O70="Menor"),AND(K70="Baja",O70="Leve")),"Bajo",IF(OR(AND(K70="Muy baja",O70="Moderado"),AND(K70="Baja",O70="Menor"),AND(K70="Baja",O70="Moderado"),AND(K70="Media",O70="Leve"),AND(K70="Media",O70="Menor"),AND(K70="Media",O70="Moderado"),AND(K70="Alta",O70="Leve"),AND(K70="Alta",O70="Menor")),"Moderado",IF(OR(AND(K70="Muy Baja",O70="Mayor"),AND(K70="Baja",O70="Mayor"),AND(K70="Media",O70="Mayor"),AND(K70="Alta",O70="Moderado"),AND(K70="Alta",O70="Mayor"),AND(K70="Muy Alta",O70="Leve"),AND(K70="Muy Alta",O70="Menor"),AND(K70="Muy Alta",O70="Moderado"),AND(K70="Muy Alta",O70="Mayor")),"Alto",IF(OR(AND(K70="Muy Baja",O70="Catastrófico"),AND(K70="Baja",O70="Catastrófico"),AND(K70="Media",O70="Catastrófico"),AND(K70="Alta",O70="Catastrófico"),AND(K70="Muy Alta",O70="Catastrófico")),"Extremo",""))))</f>
        <v>Moderado</v>
      </c>
      <c r="R70" s="39">
        <v>2</v>
      </c>
      <c r="S70" s="83" t="s">
        <v>320</v>
      </c>
      <c r="T70" s="214"/>
      <c r="U70" s="68" t="str">
        <f t="shared" ref="U70:U73" si="114">IF(OR(V70="Preventivo",V70="Detectivo"),"Probabilidad",IF(V70="Correctivo","Impacto",""))</f>
        <v/>
      </c>
      <c r="V70" s="64"/>
      <c r="W70" s="64"/>
      <c r="X70" s="69" t="str">
        <f t="shared" ref="X70:X73" si="115">IF(AND(V70="Preventivo",W70="Automática"),"50%",IF(AND(V70="Preventivo",W70="Manual"),"40%",IF(AND(V70="Detectivo",W70="Automática"),"40%",IF(AND(V70="Detectivo",W70="Manual"),"30%",IF(AND(V70="Correctivo",W70="Automática"),"35%",IF(AND(V70="Correctivo",W70="Manual"),"25%",""))))))</f>
        <v/>
      </c>
      <c r="Y70" s="64"/>
      <c r="Z70" s="64"/>
      <c r="AA70" s="64"/>
      <c r="AB70" s="65" t="str">
        <f t="shared" ref="AB70:AB73" si="116">IFERROR(IF(U70="Probabilidad",(L70-(+L70*X70)),IF(U70="Impacto",L70,"")),"")</f>
        <v/>
      </c>
      <c r="AC70" s="70" t="str">
        <f t="shared" ref="AC70:AC73" si="117">IFERROR(IF(AB70="","",IF(AB70&lt;=0.2,"Muy Baja",IF(AB70&lt;=0.4,"Baja",IF(AB70&lt;=0.6,"Media",IF(AB70&lt;=0.8,"Alta","Muy Alta"))))),"")</f>
        <v/>
      </c>
      <c r="AD70" s="75" t="str">
        <f t="shared" ref="AD70:AD73" si="118">+AB70</f>
        <v/>
      </c>
      <c r="AE70" s="70" t="str">
        <f t="shared" ref="AE70:AE73" si="119">IFERROR(IF(AF70="","",IF(AF70&lt;=0.2,"Leve",IF(AF70&lt;=0.4,"Menor",IF(AF70&lt;=0.6,"Moderado",IF(AF70&lt;=0.8,"Mayor","Catastrófico"))))),"")</f>
        <v/>
      </c>
      <c r="AF70" s="69" t="str">
        <f t="shared" ref="AF70:AF73" si="120">IFERROR(IF(U70="Impacto",(P70-(+P70*X70)),IF(U70="Probabilidad",P70,"")),"")</f>
        <v/>
      </c>
      <c r="AG70" s="71" t="str">
        <f t="shared" ref="AG70:AG73" si="121">IFERROR(IF(OR(AND(AC70="Muy Baja",AE70="Leve"),AND(AC70="Muy Baja",AE70="Menor"),AND(AC70="Baja",AE70="Leve")),"Bajo",IF(OR(AND(AC70="Muy baja",AE70="Moderado"),AND(AC70="Baja",AE70="Menor"),AND(AC70="Baja",AE70="Moderado"),AND(AC70="Media",AE70="Leve"),AND(AC70="Media",AE70="Menor"),AND(AC70="Media",AE70="Moderado"),AND(AC70="Alta",AE70="Leve"),AND(AC70="Alta",AE70="Menor")),"Moderado",IF(OR(AND(AC70="Muy Baja",AE70="Mayor"),AND(AC70="Baja",AE70="Mayor"),AND(AC70="Media",AE70="Mayor"),AND(AC70="Alta",AE70="Moderado"),AND(AC70="Alta",AE70="Mayor"),AND(AC70="Muy Alta",AE70="Leve"),AND(AC70="Muy Alta",AE70="Menor"),AND(AC70="Muy Alta",AE70="Moderado"),AND(AC70="Muy Alta",AE70="Mayor")),"Alto",IF(OR(AND(AC70="Muy Baja",AE70="Catastrófico"),AND(AC70="Baja",AE70="Catastrófico"),AND(AC70="Media",AE70="Catastrófico"),AND(AC70="Alta",AE70="Catastrófico"),AND(AC70="Muy Alta",AE70="Catastrófico")),"Extremo","")))),"")</f>
        <v/>
      </c>
      <c r="AH70" s="64"/>
      <c r="AI70" s="161"/>
      <c r="AJ70" s="64"/>
    </row>
    <row r="71" spans="1:36" ht="27.6">
      <c r="A71" s="218"/>
      <c r="B71" s="217"/>
      <c r="C71" s="220"/>
      <c r="D71" s="227"/>
      <c r="E71" s="227"/>
      <c r="F71" s="227"/>
      <c r="G71" s="221"/>
      <c r="H71" s="215"/>
      <c r="I71" s="40" t="s">
        <v>321</v>
      </c>
      <c r="J71" s="4">
        <v>243</v>
      </c>
      <c r="K71" s="52" t="str">
        <f t="shared" si="110"/>
        <v>Media</v>
      </c>
      <c r="L71" s="54">
        <f t="shared" si="111"/>
        <v>0.6</v>
      </c>
      <c r="M71" s="55" t="s">
        <v>139</v>
      </c>
      <c r="N71" s="53" t="str">
        <f>IF(NOT(ISERROR(MATCH(M71,'Validacion de datos'!$H$14:$H$16,0))),'Validacion de datos'!$J$16&amp;"Por favor no seleccionar los criterios de impacto(Afectación Económica o presupuestal y Pérdida Reputacional)",M71)</f>
        <v xml:space="preserve">Entre 100 y 500 SMLMV </v>
      </c>
      <c r="O71" s="52" t="str">
        <f>IF(OR(N71=IMPACTO!$C$3,N71=IMPACTO!$D$3),"Leve",IF(OR(N71=IMPACTO!$C$4,N71=IMPACTO!$D$4),"Menor",IF(OR(N71=IMPACTO!$C$5,N71=IMPACTO!$D$5),"Moderado",IF(OR(N71=IMPACTO!$C$6,N71=IMPACTO!$D$6),"Mayor",IF(OR(N71=IMPACTO!$C$7,N71=IMPACTO!$D$7),"Catastrófico","")))))</f>
        <v>Mayor</v>
      </c>
      <c r="P71" s="54">
        <f t="shared" si="112"/>
        <v>0.8</v>
      </c>
      <c r="Q71" s="78" t="str">
        <f t="shared" si="113"/>
        <v>Alto</v>
      </c>
      <c r="R71" s="39">
        <v>3</v>
      </c>
      <c r="S71" s="83" t="s">
        <v>322</v>
      </c>
      <c r="T71" s="215"/>
      <c r="U71" s="68" t="str">
        <f t="shared" si="114"/>
        <v/>
      </c>
      <c r="V71" s="64"/>
      <c r="W71" s="64"/>
      <c r="X71" s="69" t="str">
        <f t="shared" si="115"/>
        <v/>
      </c>
      <c r="Y71" s="64"/>
      <c r="Z71" s="64"/>
      <c r="AA71" s="64"/>
      <c r="AB71" s="65" t="str">
        <f t="shared" si="116"/>
        <v/>
      </c>
      <c r="AC71" s="70" t="str">
        <f t="shared" si="117"/>
        <v/>
      </c>
      <c r="AD71" s="75" t="str">
        <f t="shared" si="118"/>
        <v/>
      </c>
      <c r="AE71" s="70" t="str">
        <f t="shared" si="119"/>
        <v/>
      </c>
      <c r="AF71" s="69" t="str">
        <f t="shared" si="120"/>
        <v/>
      </c>
      <c r="AG71" s="71" t="str">
        <f t="shared" si="121"/>
        <v/>
      </c>
      <c r="AH71" s="64"/>
      <c r="AI71" s="161"/>
      <c r="AJ71" s="64"/>
    </row>
    <row r="72" spans="1:36" ht="55.15">
      <c r="A72" s="216">
        <v>39</v>
      </c>
      <c r="B72" s="217"/>
      <c r="C72" s="220"/>
      <c r="D72" s="225"/>
      <c r="E72" s="225" t="s">
        <v>142</v>
      </c>
      <c r="F72" s="225" t="s">
        <v>94</v>
      </c>
      <c r="G72" s="219" t="s">
        <v>323</v>
      </c>
      <c r="H72" s="213" t="s">
        <v>324</v>
      </c>
      <c r="I72" s="2" t="s">
        <v>325</v>
      </c>
      <c r="J72" s="4">
        <v>243</v>
      </c>
      <c r="K72" s="52" t="str">
        <f t="shared" si="110"/>
        <v>Media</v>
      </c>
      <c r="L72" s="54">
        <f t="shared" si="111"/>
        <v>0.6</v>
      </c>
      <c r="M72" s="55" t="s">
        <v>110</v>
      </c>
      <c r="N72" s="53" t="str">
        <f>IF(NOT(ISERROR(MATCH(M72,'Validacion de datos'!$H$14:$H$16,0))),'Validacion de datos'!$J$16&amp;"Por favor no seleccionar los criterios de impacto(Afectación Económica o presupuestal y Pérdida Reputacional)",M72)</f>
        <v>El riesgo afecta la imagen de la entidad con algunos usuarios de relevancia frente al logro de los objetivos</v>
      </c>
      <c r="O72" s="52" t="str">
        <f>IF(OR(N72=IMPACTO!$C$3,N72=IMPACTO!$D$3),"Leve",IF(OR(N72=IMPACTO!$C$4,N72=IMPACTO!$D$4),"Menor",IF(OR(N72=IMPACTO!$C$5,N72=IMPACTO!$D$5),"Moderado",IF(OR(N72=IMPACTO!$C$6,N72=IMPACTO!$D$6),"Mayor",IF(OR(N72=IMPACTO!$C$7,N72=IMPACTO!$D$7),"Catastrófico","")))))</f>
        <v>Moderado</v>
      </c>
      <c r="P72" s="54">
        <f t="shared" si="112"/>
        <v>0.6</v>
      </c>
      <c r="Q72" s="78" t="str">
        <f t="shared" si="113"/>
        <v>Moderado</v>
      </c>
      <c r="R72" s="39">
        <v>1</v>
      </c>
      <c r="S72" s="83" t="s">
        <v>326</v>
      </c>
      <c r="T72" s="213" t="s">
        <v>312</v>
      </c>
      <c r="U72" s="68" t="str">
        <f t="shared" si="114"/>
        <v/>
      </c>
      <c r="V72" s="64"/>
      <c r="W72" s="64"/>
      <c r="X72" s="69" t="str">
        <f t="shared" si="115"/>
        <v/>
      </c>
      <c r="Y72" s="64"/>
      <c r="Z72" s="64"/>
      <c r="AA72" s="64"/>
      <c r="AB72" s="65" t="str">
        <f t="shared" si="116"/>
        <v/>
      </c>
      <c r="AC72" s="70" t="str">
        <f t="shared" si="117"/>
        <v/>
      </c>
      <c r="AD72" s="75" t="str">
        <f t="shared" si="118"/>
        <v/>
      </c>
      <c r="AE72" s="70" t="str">
        <f t="shared" si="119"/>
        <v/>
      </c>
      <c r="AF72" s="69" t="str">
        <f t="shared" si="120"/>
        <v/>
      </c>
      <c r="AG72" s="71" t="str">
        <f t="shared" si="121"/>
        <v/>
      </c>
      <c r="AH72" s="64"/>
      <c r="AI72" s="161"/>
      <c r="AJ72" s="64"/>
    </row>
    <row r="73" spans="1:36" ht="41.45">
      <c r="A73" s="217"/>
      <c r="B73" s="217"/>
      <c r="C73" s="220"/>
      <c r="D73" s="226"/>
      <c r="E73" s="226"/>
      <c r="F73" s="226"/>
      <c r="G73" s="220"/>
      <c r="H73" s="214"/>
      <c r="I73" s="2" t="s">
        <v>327</v>
      </c>
      <c r="J73" s="4">
        <v>243</v>
      </c>
      <c r="K73" s="52" t="str">
        <f t="shared" si="110"/>
        <v>Media</v>
      </c>
      <c r="L73" s="54">
        <f t="shared" si="111"/>
        <v>0.6</v>
      </c>
      <c r="M73" s="55" t="s">
        <v>110</v>
      </c>
      <c r="N73" s="53" t="str">
        <f>IF(NOT(ISERROR(MATCH(M73,'Validacion de datos'!$H$14:$H$16,0))),'Validacion de datos'!$J$16&amp;"Por favor no seleccionar los criterios de impacto(Afectación Económica o presupuestal y Pérdida Reputacional)",M73)</f>
        <v>El riesgo afecta la imagen de la entidad con algunos usuarios de relevancia frente al logro de los objetivos</v>
      </c>
      <c r="O73" s="52" t="str">
        <f>IF(OR(N73=IMPACTO!$C$3,N73=IMPACTO!$D$3),"Leve",IF(OR(N73=IMPACTO!$C$4,N73=IMPACTO!$D$4),"Menor",IF(OR(N73=IMPACTO!$C$5,N73=IMPACTO!$D$5),"Moderado",IF(OR(N73=IMPACTO!$C$6,N73=IMPACTO!$D$6),"Mayor",IF(OR(N73=IMPACTO!$C$7,N73=IMPACTO!$D$7),"Catastrófico","")))))</f>
        <v>Moderado</v>
      </c>
      <c r="P73" s="54">
        <f t="shared" si="112"/>
        <v>0.6</v>
      </c>
      <c r="Q73" s="78" t="str">
        <f t="shared" si="113"/>
        <v>Moderado</v>
      </c>
      <c r="R73" s="39">
        <v>2</v>
      </c>
      <c r="S73" s="83" t="s">
        <v>328</v>
      </c>
      <c r="T73" s="214"/>
      <c r="U73" s="68" t="str">
        <f t="shared" si="114"/>
        <v/>
      </c>
      <c r="V73" s="64"/>
      <c r="W73" s="64"/>
      <c r="X73" s="69" t="str">
        <f t="shared" si="115"/>
        <v/>
      </c>
      <c r="Y73" s="64"/>
      <c r="Z73" s="64"/>
      <c r="AA73" s="64"/>
      <c r="AB73" s="65" t="str">
        <f t="shared" si="116"/>
        <v/>
      </c>
      <c r="AC73" s="70" t="str">
        <f t="shared" si="117"/>
        <v/>
      </c>
      <c r="AD73" s="75" t="str">
        <f t="shared" si="118"/>
        <v/>
      </c>
      <c r="AE73" s="70" t="str">
        <f t="shared" si="119"/>
        <v/>
      </c>
      <c r="AF73" s="69" t="str">
        <f t="shared" si="120"/>
        <v/>
      </c>
      <c r="AG73" s="71" t="str">
        <f t="shared" si="121"/>
        <v/>
      </c>
      <c r="AH73" s="64"/>
      <c r="AI73" s="161"/>
      <c r="AJ73" s="64"/>
    </row>
    <row r="74" spans="1:36" ht="41.45">
      <c r="A74" s="218"/>
      <c r="B74" s="218"/>
      <c r="C74" s="221"/>
      <c r="D74" s="227"/>
      <c r="E74" s="227"/>
      <c r="F74" s="227"/>
      <c r="G74" s="221"/>
      <c r="H74" s="215"/>
      <c r="I74" s="2" t="s">
        <v>329</v>
      </c>
      <c r="J74" s="4">
        <v>243</v>
      </c>
      <c r="K74" s="52" t="str">
        <f t="shared" si="9"/>
        <v>Media</v>
      </c>
      <c r="L74" s="54">
        <f t="shared" si="0"/>
        <v>0.6</v>
      </c>
      <c r="M74" s="55" t="s">
        <v>110</v>
      </c>
      <c r="N74" s="53" t="str">
        <f>IF(NOT(ISERROR(MATCH(M74,'Validacion de datos'!$H$14:$H$16,0))),'Validacion de datos'!$J$16&amp;"Por favor no seleccionar los criterios de impacto(Afectación Económica o presupuestal y Pérdida Reputacional)",M74)</f>
        <v>El riesgo afecta la imagen de la entidad con algunos usuarios de relevancia frente al logro de los objetivos</v>
      </c>
      <c r="O74" s="52" t="str">
        <f>IF(OR(N74=IMPACTO!$C$3,N74=IMPACTO!$D$3),"Leve",IF(OR(N74=IMPACTO!$C$4,N74=IMPACTO!$D$4),"Menor",IF(OR(N74=IMPACTO!$C$5,N74=IMPACTO!$D$5),"Moderado",IF(OR(N74=IMPACTO!$C$6,N74=IMPACTO!$D$6),"Mayor",IF(OR(N74=IMPACTO!$C$7,N74=IMPACTO!$D$7),"Catastrófico","")))))</f>
        <v>Moderado</v>
      </c>
      <c r="P74" s="54">
        <f t="shared" si="10"/>
        <v>0.6</v>
      </c>
      <c r="Q74" s="78" t="str">
        <f t="shared" si="17"/>
        <v>Moderado</v>
      </c>
      <c r="R74" s="39">
        <v>3</v>
      </c>
      <c r="S74" s="83" t="s">
        <v>330</v>
      </c>
      <c r="T74" s="215"/>
      <c r="U74" s="68" t="str">
        <f t="shared" si="1"/>
        <v/>
      </c>
      <c r="V74" s="64"/>
      <c r="W74" s="64"/>
      <c r="X74" s="69" t="str">
        <f t="shared" si="12"/>
        <v/>
      </c>
      <c r="Y74" s="64"/>
      <c r="Z74" s="64"/>
      <c r="AA74" s="64"/>
      <c r="AB74" s="65" t="str">
        <f t="shared" si="13"/>
        <v/>
      </c>
      <c r="AC74" s="70" t="str">
        <f t="shared" si="4"/>
        <v/>
      </c>
      <c r="AD74" s="75" t="str">
        <f t="shared" si="14"/>
        <v/>
      </c>
      <c r="AE74" s="70" t="str">
        <f t="shared" si="6"/>
        <v/>
      </c>
      <c r="AF74" s="69" t="str">
        <f t="shared" si="15"/>
        <v/>
      </c>
      <c r="AG74" s="71" t="str">
        <f t="shared" si="16"/>
        <v/>
      </c>
      <c r="AH74" s="64"/>
      <c r="AI74" s="161"/>
      <c r="AJ74" s="64"/>
    </row>
    <row r="75" spans="1:36" ht="139.5" customHeight="1">
      <c r="A75" s="216">
        <v>40</v>
      </c>
      <c r="B75" s="216" t="s">
        <v>331</v>
      </c>
      <c r="C75" s="219" t="str">
        <f>+IFERROR(VLOOKUP(B75,'Validacion de datos'!A:B,2,0),"")</f>
        <v>Gestionar la adquisición y la administración de los Bienes y Servicios necesarios en la ejecución de las actividades de la Empresa de Vivienda de Antioquia-VIVA, para contribuir con el logro de los objetivos organizacionales, cumpliendo con los principios de la administración pública.</v>
      </c>
      <c r="D75" s="225"/>
      <c r="E75" s="225"/>
      <c r="F75" s="225" t="s">
        <v>129</v>
      </c>
      <c r="G75" s="219" t="s">
        <v>332</v>
      </c>
      <c r="H75" s="213" t="s">
        <v>333</v>
      </c>
      <c r="I75" s="2" t="s">
        <v>334</v>
      </c>
      <c r="J75" s="4">
        <v>3</v>
      </c>
      <c r="K75" s="52" t="str">
        <f t="shared" si="9"/>
        <v>Baja</v>
      </c>
      <c r="L75" s="54">
        <f t="shared" si="0"/>
        <v>0.4</v>
      </c>
      <c r="M75" s="55" t="s">
        <v>102</v>
      </c>
      <c r="N75" s="53" t="str">
        <f>IF(NOT(ISERROR(MATCH(M75,'Validacion de datos'!$H$14:$H$16,0))),'Validacion de datos'!$J$16&amp;"Por favor no seleccionar los criterios de impacto(Afectación Económica o presupuestal y Pérdida Reputacional)",M75)</f>
        <v>El riesgo afecta la imagen de la entidad internamente, de conocimiento general, nivel interno, de junta dircetiva y accionistas y/o de provedores</v>
      </c>
      <c r="O75" s="52" t="str">
        <f>IF(OR(N75=IMPACTO!$C$3,N75=IMPACTO!$D$3),"Leve",IF(OR(N75=IMPACTO!$C$4,N75=IMPACTO!$D$4),"Menor",IF(OR(N75=IMPACTO!$C$5,N75=IMPACTO!$D$5),"Moderado",IF(OR(N75=IMPACTO!$C$6,N75=IMPACTO!$D$6),"Mayor",IF(OR(N75=IMPACTO!$C$7,N75=IMPACTO!$D$7),"Catastrófico","")))))</f>
        <v>Menor</v>
      </c>
      <c r="P75" s="54">
        <f t="shared" si="10"/>
        <v>0.4</v>
      </c>
      <c r="Q75" s="78" t="str">
        <f t="shared" si="17"/>
        <v>Moderado</v>
      </c>
      <c r="R75" s="39">
        <v>1</v>
      </c>
      <c r="S75" s="83" t="s">
        <v>335</v>
      </c>
      <c r="T75" s="213" t="s">
        <v>336</v>
      </c>
      <c r="U75" s="68" t="str">
        <f t="shared" si="1"/>
        <v/>
      </c>
      <c r="V75" s="64"/>
      <c r="W75" s="64"/>
      <c r="X75" s="69" t="str">
        <f t="shared" si="12"/>
        <v/>
      </c>
      <c r="Y75" s="64"/>
      <c r="Z75" s="64"/>
      <c r="AA75" s="64"/>
      <c r="AB75" s="65" t="str">
        <f t="shared" si="13"/>
        <v/>
      </c>
      <c r="AC75" s="70" t="str">
        <f t="shared" si="4"/>
        <v/>
      </c>
      <c r="AD75" s="75" t="str">
        <f t="shared" si="14"/>
        <v/>
      </c>
      <c r="AE75" s="70" t="str">
        <f t="shared" si="6"/>
        <v/>
      </c>
      <c r="AF75" s="69" t="str">
        <f t="shared" si="15"/>
        <v/>
      </c>
      <c r="AG75" s="71" t="str">
        <f t="shared" si="16"/>
        <v/>
      </c>
      <c r="AH75" s="64"/>
      <c r="AI75" s="161"/>
      <c r="AJ75" s="64"/>
    </row>
    <row r="76" spans="1:36" ht="139.5" customHeight="1">
      <c r="A76" s="218"/>
      <c r="B76" s="217"/>
      <c r="C76" s="220"/>
      <c r="D76" s="227"/>
      <c r="E76" s="227"/>
      <c r="F76" s="227"/>
      <c r="G76" s="221"/>
      <c r="H76" s="215"/>
      <c r="I76" s="2" t="s">
        <v>337</v>
      </c>
      <c r="J76" s="4">
        <v>1</v>
      </c>
      <c r="K76" s="52" t="str">
        <f t="shared" si="9"/>
        <v>Muy Baja</v>
      </c>
      <c r="L76" s="54">
        <f t="shared" si="0"/>
        <v>0.2</v>
      </c>
      <c r="M76" s="55" t="s">
        <v>110</v>
      </c>
      <c r="N76" s="53" t="str">
        <f>IF(NOT(ISERROR(MATCH(M76,'Validacion de datos'!$H$14:$H$16,0))),'Validacion de datos'!$J$16&amp;"Por favor no seleccionar los criterios de impacto(Afectación Económica o presupuestal y Pérdida Reputacional)",M76)</f>
        <v>El riesgo afecta la imagen de la entidad con algunos usuarios de relevancia frente al logro de los objetivos</v>
      </c>
      <c r="O76" s="52" t="str">
        <f>IF(OR(N76=IMPACTO!$C$3,N76=IMPACTO!$D$3),"Leve",IF(OR(N76=IMPACTO!$C$4,N76=IMPACTO!$D$4),"Menor",IF(OR(N76=IMPACTO!$C$5,N76=IMPACTO!$D$5),"Moderado",IF(OR(N76=IMPACTO!$C$6,N76=IMPACTO!$D$6),"Mayor",IF(OR(N76=IMPACTO!$C$7,N76=IMPACTO!$D$7),"Catastrófico","")))))</f>
        <v>Moderado</v>
      </c>
      <c r="P76" s="54">
        <f t="shared" si="10"/>
        <v>0.6</v>
      </c>
      <c r="Q76" s="78" t="str">
        <f t="shared" si="17"/>
        <v>Moderado</v>
      </c>
      <c r="R76" s="39">
        <v>2</v>
      </c>
      <c r="S76" s="83" t="s">
        <v>338</v>
      </c>
      <c r="T76" s="215"/>
      <c r="U76" s="68" t="str">
        <f t="shared" si="1"/>
        <v/>
      </c>
      <c r="V76" s="64"/>
      <c r="W76" s="64"/>
      <c r="X76" s="69" t="str">
        <f t="shared" ref="X76" si="122">IF(AND(V76="Preventivo",W76="Automática"),"50%",IF(AND(V76="Preventivo",W76="Manual"),"40%",IF(AND(V76="Detectivo",W76="Automática"),"40%",IF(AND(V76="Detectivo",W76="Manual"),"30%",IF(AND(V76="Correctivo",W76="Automática"),"35%",IF(AND(V76="Correctivo",W76="Manual"),"25%",""))))))</f>
        <v/>
      </c>
      <c r="Y76" s="64"/>
      <c r="Z76" s="64"/>
      <c r="AA76" s="64"/>
      <c r="AB76" s="65" t="str">
        <f t="shared" ref="AB76" si="123">IFERROR(IF(U76="Probabilidad",(L76-(+L76*X76)),IF(U76="Impacto",L76,"")),"")</f>
        <v/>
      </c>
      <c r="AC76" s="70" t="str">
        <f t="shared" ref="AC76" si="124">IFERROR(IF(AB76="","",IF(AB76&lt;=0.2,"Muy Baja",IF(AB76&lt;=0.4,"Baja",IF(AB76&lt;=0.6,"Media",IF(AB76&lt;=0.8,"Alta","Muy Alta"))))),"")</f>
        <v/>
      </c>
      <c r="AD76" s="75" t="str">
        <f t="shared" ref="AD76" si="125">+AB76</f>
        <v/>
      </c>
      <c r="AE76" s="70" t="str">
        <f t="shared" ref="AE76" si="126">IFERROR(IF(AF76="","",IF(AF76&lt;=0.2,"Leve",IF(AF76&lt;=0.4,"Menor",IF(AF76&lt;=0.6,"Moderado",IF(AF76&lt;=0.8,"Mayor","Catastrófico"))))),"")</f>
        <v/>
      </c>
      <c r="AF76" s="69" t="str">
        <f t="shared" ref="AF76" si="127">IFERROR(IF(U76="Impacto",(P76-(+P76*X76)),IF(U76="Probabilidad",P76,"")),"")</f>
        <v/>
      </c>
      <c r="AG76" s="71" t="str">
        <f t="shared" ref="AG76" si="128">IFERROR(IF(OR(AND(AC76="Muy Baja",AE76="Leve"),AND(AC76="Muy Baja",AE76="Menor"),AND(AC76="Baja",AE76="Leve")),"Bajo",IF(OR(AND(AC76="Muy baja",AE76="Moderado"),AND(AC76="Baja",AE76="Menor"),AND(AC76="Baja",AE76="Moderado"),AND(AC76="Media",AE76="Leve"),AND(AC76="Media",AE76="Menor"),AND(AC76="Media",AE76="Moderado"),AND(AC76="Alta",AE76="Leve"),AND(AC76="Alta",AE76="Menor")),"Moderado",IF(OR(AND(AC76="Muy Baja",AE76="Mayor"),AND(AC76="Baja",AE76="Mayor"),AND(AC76="Media",AE76="Mayor"),AND(AC76="Alta",AE76="Moderado"),AND(AC76="Alta",AE76="Mayor"),AND(AC76="Muy Alta",AE76="Leve"),AND(AC76="Muy Alta",AE76="Menor"),AND(AC76="Muy Alta",AE76="Moderado"),AND(AC76="Muy Alta",AE76="Mayor")),"Alto",IF(OR(AND(AC76="Muy Baja",AE76="Catastrófico"),AND(AC76="Baja",AE76="Catastrófico"),AND(AC76="Media",AE76="Catastrófico"),AND(AC76="Alta",AE76="Catastrófico"),AND(AC76="Muy Alta",AE76="Catastrófico")),"Extremo","")))),"")</f>
        <v/>
      </c>
      <c r="AH76" s="64"/>
      <c r="AI76" s="161"/>
      <c r="AJ76" s="64"/>
    </row>
    <row r="77" spans="1:36" ht="139.5" customHeight="1">
      <c r="A77" s="216">
        <v>41</v>
      </c>
      <c r="B77" s="217"/>
      <c r="C77" s="220"/>
      <c r="D77" s="225"/>
      <c r="E77" s="225" t="s">
        <v>339</v>
      </c>
      <c r="F77" s="225" t="s">
        <v>340</v>
      </c>
      <c r="G77" s="219" t="s">
        <v>341</v>
      </c>
      <c r="H77" s="213" t="s">
        <v>342</v>
      </c>
      <c r="I77" s="2" t="s">
        <v>343</v>
      </c>
      <c r="J77" s="4">
        <v>243</v>
      </c>
      <c r="K77" s="52" t="str">
        <f t="shared" si="9"/>
        <v>Media</v>
      </c>
      <c r="L77" s="54">
        <f t="shared" si="0"/>
        <v>0.6</v>
      </c>
      <c r="M77" s="55" t="s">
        <v>110</v>
      </c>
      <c r="N77" s="53" t="str">
        <f>IF(NOT(ISERROR(MATCH(M77,'Validacion de datos'!$H$14:$H$16,0))),'Validacion de datos'!$J$16&amp;"Por favor no seleccionar los criterios de impacto(Afectación Económica o presupuestal y Pérdida Reputacional)",M77)</f>
        <v>El riesgo afecta la imagen de la entidad con algunos usuarios de relevancia frente al logro de los objetivos</v>
      </c>
      <c r="O77" s="52" t="str">
        <f>IF(OR(N77=IMPACTO!$C$3,N77=IMPACTO!$D$3),"Leve",IF(OR(N77=IMPACTO!$C$4,N77=IMPACTO!$D$4),"Menor",IF(OR(N77=IMPACTO!$C$5,N77=IMPACTO!$D$5),"Moderado",IF(OR(N77=IMPACTO!$C$6,N77=IMPACTO!$D$6),"Mayor",IF(OR(N77=IMPACTO!$C$7,N77=IMPACTO!$D$7),"Catastrófico","")))))</f>
        <v>Moderado</v>
      </c>
      <c r="P77" s="54">
        <f t="shared" si="10"/>
        <v>0.6</v>
      </c>
      <c r="Q77" s="78" t="str">
        <f t="shared" si="17"/>
        <v>Moderado</v>
      </c>
      <c r="R77" s="39">
        <v>1</v>
      </c>
      <c r="S77" s="83" t="s">
        <v>344</v>
      </c>
      <c r="T77" s="213" t="s">
        <v>345</v>
      </c>
      <c r="U77" s="68" t="str">
        <f t="shared" si="1"/>
        <v/>
      </c>
      <c r="V77" s="64"/>
      <c r="W77" s="64"/>
      <c r="X77" s="69" t="str">
        <f t="shared" si="12"/>
        <v/>
      </c>
      <c r="Y77" s="64"/>
      <c r="Z77" s="64"/>
      <c r="AA77" s="64"/>
      <c r="AB77" s="65" t="str">
        <f t="shared" si="13"/>
        <v/>
      </c>
      <c r="AC77" s="70" t="str">
        <f t="shared" si="4"/>
        <v/>
      </c>
      <c r="AD77" s="75" t="str">
        <f t="shared" si="14"/>
        <v/>
      </c>
      <c r="AE77" s="70" t="str">
        <f t="shared" si="6"/>
        <v/>
      </c>
      <c r="AF77" s="69" t="str">
        <f t="shared" si="15"/>
        <v/>
      </c>
      <c r="AG77" s="71" t="str">
        <f t="shared" si="16"/>
        <v/>
      </c>
      <c r="AH77" s="64"/>
      <c r="AI77" s="161"/>
      <c r="AJ77" s="64"/>
    </row>
    <row r="78" spans="1:36" ht="139.5" customHeight="1">
      <c r="A78" s="218"/>
      <c r="B78" s="217"/>
      <c r="C78" s="220"/>
      <c r="D78" s="227"/>
      <c r="E78" s="227"/>
      <c r="F78" s="227"/>
      <c r="G78" s="221"/>
      <c r="H78" s="215"/>
      <c r="I78" s="2" t="s">
        <v>346</v>
      </c>
      <c r="J78" s="4">
        <v>243</v>
      </c>
      <c r="K78" s="52" t="str">
        <f t="shared" si="9"/>
        <v>Media</v>
      </c>
      <c r="L78" s="54">
        <f t="shared" si="0"/>
        <v>0.6</v>
      </c>
      <c r="M78" s="55" t="s">
        <v>110</v>
      </c>
      <c r="N78" s="53" t="str">
        <f>IF(NOT(ISERROR(MATCH(M78,'Validacion de datos'!$H$14:$H$16,0))),'Validacion de datos'!$J$16&amp;"Por favor no seleccionar los criterios de impacto(Afectación Económica o presupuestal y Pérdida Reputacional)",M78)</f>
        <v>El riesgo afecta la imagen de la entidad con algunos usuarios de relevancia frente al logro de los objetivos</v>
      </c>
      <c r="O78" s="52" t="str">
        <f>IF(OR(N78=IMPACTO!$C$3,N78=IMPACTO!$D$3),"Leve",IF(OR(N78=IMPACTO!$C$4,N78=IMPACTO!$D$4),"Menor",IF(OR(N78=IMPACTO!$C$5,N78=IMPACTO!$D$5),"Moderado",IF(OR(N78=IMPACTO!$C$6,N78=IMPACTO!$D$6),"Mayor",IF(OR(N78=IMPACTO!$C$7,N78=IMPACTO!$D$7),"Catastrófico","")))))</f>
        <v>Moderado</v>
      </c>
      <c r="P78" s="54">
        <f t="shared" si="10"/>
        <v>0.6</v>
      </c>
      <c r="Q78" s="78" t="str">
        <f t="shared" si="17"/>
        <v>Moderado</v>
      </c>
      <c r="R78" s="39">
        <v>2</v>
      </c>
      <c r="S78" s="83" t="s">
        <v>347</v>
      </c>
      <c r="T78" s="215"/>
      <c r="U78" s="68" t="str">
        <f t="shared" si="1"/>
        <v/>
      </c>
      <c r="V78" s="64"/>
      <c r="W78" s="64"/>
      <c r="X78" s="69" t="str">
        <f t="shared" ref="X78" si="129">IF(AND(V78="Preventivo",W78="Automática"),"50%",IF(AND(V78="Preventivo",W78="Manual"),"40%",IF(AND(V78="Detectivo",W78="Automática"),"40%",IF(AND(V78="Detectivo",W78="Manual"),"30%",IF(AND(V78="Correctivo",W78="Automática"),"35%",IF(AND(V78="Correctivo",W78="Manual"),"25%",""))))))</f>
        <v/>
      </c>
      <c r="Y78" s="64"/>
      <c r="Z78" s="64"/>
      <c r="AA78" s="64"/>
      <c r="AB78" s="65" t="str">
        <f t="shared" ref="AB78" si="130">IFERROR(IF(U78="Probabilidad",(L78-(+L78*X78)),IF(U78="Impacto",L78,"")),"")</f>
        <v/>
      </c>
      <c r="AC78" s="70" t="str">
        <f t="shared" ref="AC78" si="131">IFERROR(IF(AB78="","",IF(AB78&lt;=0.2,"Muy Baja",IF(AB78&lt;=0.4,"Baja",IF(AB78&lt;=0.6,"Media",IF(AB78&lt;=0.8,"Alta","Muy Alta"))))),"")</f>
        <v/>
      </c>
      <c r="AD78" s="75" t="str">
        <f t="shared" ref="AD78" si="132">+AB78</f>
        <v/>
      </c>
      <c r="AE78" s="70" t="str">
        <f t="shared" ref="AE78" si="133">IFERROR(IF(AF78="","",IF(AF78&lt;=0.2,"Leve",IF(AF78&lt;=0.4,"Menor",IF(AF78&lt;=0.6,"Moderado",IF(AF78&lt;=0.8,"Mayor","Catastrófico"))))),"")</f>
        <v/>
      </c>
      <c r="AF78" s="69" t="str">
        <f t="shared" ref="AF78" si="134">IFERROR(IF(U78="Impacto",(P78-(+P78*X78)),IF(U78="Probabilidad",P78,"")),"")</f>
        <v/>
      </c>
      <c r="AG78" s="71" t="str">
        <f t="shared" ref="AG78" si="135">IFERROR(IF(OR(AND(AC78="Muy Baja",AE78="Leve"),AND(AC78="Muy Baja",AE78="Menor"),AND(AC78="Baja",AE78="Leve")),"Bajo",IF(OR(AND(AC78="Muy baja",AE78="Moderado"),AND(AC78="Baja",AE78="Menor"),AND(AC78="Baja",AE78="Moderado"),AND(AC78="Media",AE78="Leve"),AND(AC78="Media",AE78="Menor"),AND(AC78="Media",AE78="Moderado"),AND(AC78="Alta",AE78="Leve"),AND(AC78="Alta",AE78="Menor")),"Moderado",IF(OR(AND(AC78="Muy Baja",AE78="Mayor"),AND(AC78="Baja",AE78="Mayor"),AND(AC78="Media",AE78="Mayor"),AND(AC78="Alta",AE78="Moderado"),AND(AC78="Alta",AE78="Mayor"),AND(AC78="Muy Alta",AE78="Leve"),AND(AC78="Muy Alta",AE78="Menor"),AND(AC78="Muy Alta",AE78="Moderado"),AND(AC78="Muy Alta",AE78="Mayor")),"Alto",IF(OR(AND(AC78="Muy Baja",AE78="Catastrófico"),AND(AC78="Baja",AE78="Catastrófico"),AND(AC78="Media",AE78="Catastrófico"),AND(AC78="Alta",AE78="Catastrófico"),AND(AC78="Muy Alta",AE78="Catastrófico")),"Extremo","")))),"")</f>
        <v/>
      </c>
      <c r="AH78" s="64"/>
      <c r="AI78" s="161"/>
      <c r="AJ78" s="64"/>
    </row>
    <row r="79" spans="1:36" ht="139.5" customHeight="1">
      <c r="A79" s="216">
        <v>42</v>
      </c>
      <c r="B79" s="217"/>
      <c r="C79" s="220"/>
      <c r="D79" s="225"/>
      <c r="E79" s="225" t="s">
        <v>142</v>
      </c>
      <c r="F79" s="225" t="s">
        <v>129</v>
      </c>
      <c r="G79" s="219" t="s">
        <v>348</v>
      </c>
      <c r="H79" s="213" t="s">
        <v>349</v>
      </c>
      <c r="I79" s="2" t="s">
        <v>350</v>
      </c>
      <c r="J79" s="4">
        <v>500</v>
      </c>
      <c r="K79" s="52" t="str">
        <f t="shared" si="9"/>
        <v>Media</v>
      </c>
      <c r="L79" s="54">
        <f t="shared" si="0"/>
        <v>0.6</v>
      </c>
      <c r="M79" s="55" t="s">
        <v>117</v>
      </c>
      <c r="N79" s="53" t="str">
        <f>IF(NOT(ISERROR(MATCH(M79,'Validacion de datos'!$H$14:$H$16,0))),'Validacion de datos'!$J$16&amp;"Por favor no seleccionar los criterios de impacto(Afectación Económica o presupuestal y Pérdida Reputacional)",M79)</f>
        <v>El riesgo afecta la imagen de de la entidad con efecto publicitario sostenido a nivel de sector administrativo, nivel departamental o municipal</v>
      </c>
      <c r="O79" s="52" t="str">
        <f>IF(OR(N79=IMPACTO!$C$3,N79=IMPACTO!$D$3),"Leve",IF(OR(N79=IMPACTO!$C$4,N79=IMPACTO!$D$4),"Menor",IF(OR(N79=IMPACTO!$C$5,N79=IMPACTO!$D$5),"Moderado",IF(OR(N79=IMPACTO!$C$6,N79=IMPACTO!$D$6),"Mayor",IF(OR(N79=IMPACTO!$C$7,N79=IMPACTO!$D$7),"Catastrófico","")))))</f>
        <v>Mayor</v>
      </c>
      <c r="P79" s="54">
        <f t="shared" si="10"/>
        <v>0.8</v>
      </c>
      <c r="Q79" s="78" t="str">
        <f t="shared" si="17"/>
        <v>Alto</v>
      </c>
      <c r="R79" s="39">
        <v>1</v>
      </c>
      <c r="S79" s="83" t="s">
        <v>351</v>
      </c>
      <c r="T79" s="213" t="s">
        <v>336</v>
      </c>
      <c r="U79" s="68" t="str">
        <f t="shared" si="1"/>
        <v/>
      </c>
      <c r="V79" s="64"/>
      <c r="W79" s="64"/>
      <c r="X79" s="69" t="str">
        <f t="shared" ref="X79:X85" si="136">IF(AND(V79="Preventivo",W79="Automática"),"50%",IF(AND(V79="Preventivo",W79="Manual"),"40%",IF(AND(V79="Detectivo",W79="Automática"),"40%",IF(AND(V79="Detectivo",W79="Manual"),"30%",IF(AND(V79="Correctivo",W79="Automática"),"35%",IF(AND(V79="Correctivo",W79="Manual"),"25%",""))))))</f>
        <v/>
      </c>
      <c r="Y79" s="64"/>
      <c r="Z79" s="64"/>
      <c r="AA79" s="64"/>
      <c r="AB79" s="65" t="str">
        <f t="shared" ref="AB79:AB85" si="137">IFERROR(IF(U79="Probabilidad",(L79-(+L79*X79)),IF(U79="Impacto",L79,"")),"")</f>
        <v/>
      </c>
      <c r="AC79" s="70" t="str">
        <f t="shared" ref="AC79:AC85" si="138">IFERROR(IF(AB79="","",IF(AB79&lt;=0.2,"Muy Baja",IF(AB79&lt;=0.4,"Baja",IF(AB79&lt;=0.6,"Media",IF(AB79&lt;=0.8,"Alta","Muy Alta"))))),"")</f>
        <v/>
      </c>
      <c r="AD79" s="75" t="str">
        <f t="shared" ref="AD79:AD85" si="139">+AB79</f>
        <v/>
      </c>
      <c r="AE79" s="70" t="str">
        <f t="shared" ref="AE79:AE85" si="140">IFERROR(IF(AF79="","",IF(AF79&lt;=0.2,"Leve",IF(AF79&lt;=0.4,"Menor",IF(AF79&lt;=0.6,"Moderado",IF(AF79&lt;=0.8,"Mayor","Catastrófico"))))),"")</f>
        <v/>
      </c>
      <c r="AF79" s="69" t="str">
        <f t="shared" ref="AF79:AF85" si="141">IFERROR(IF(U79="Impacto",(P79-(+P79*X79)),IF(U79="Probabilidad",P79,"")),"")</f>
        <v/>
      </c>
      <c r="AG79" s="71" t="str">
        <f t="shared" ref="AG79:AG85" si="142">IFERROR(IF(OR(AND(AC79="Muy Baja",AE79="Leve"),AND(AC79="Muy Baja",AE79="Menor"),AND(AC79="Baja",AE79="Leve")),"Bajo",IF(OR(AND(AC79="Muy baja",AE79="Moderado"),AND(AC79="Baja",AE79="Menor"),AND(AC79="Baja",AE79="Moderado"),AND(AC79="Media",AE79="Leve"),AND(AC79="Media",AE79="Menor"),AND(AC79="Media",AE79="Moderado"),AND(AC79="Alta",AE79="Leve"),AND(AC79="Alta",AE79="Menor")),"Moderado",IF(OR(AND(AC79="Muy Baja",AE79="Mayor"),AND(AC79="Baja",AE79="Mayor"),AND(AC79="Media",AE79="Mayor"),AND(AC79="Alta",AE79="Moderado"),AND(AC79="Alta",AE79="Mayor"),AND(AC79="Muy Alta",AE79="Leve"),AND(AC79="Muy Alta",AE79="Menor"),AND(AC79="Muy Alta",AE79="Moderado"),AND(AC79="Muy Alta",AE79="Mayor")),"Alto",IF(OR(AND(AC79="Muy Baja",AE79="Catastrófico"),AND(AC79="Baja",AE79="Catastrófico"),AND(AC79="Media",AE79="Catastrófico"),AND(AC79="Alta",AE79="Catastrófico"),AND(AC79="Muy Alta",AE79="Catastrófico")),"Extremo","")))),"")</f>
        <v/>
      </c>
      <c r="AH79" s="64"/>
      <c r="AI79" s="161"/>
      <c r="AJ79" s="64"/>
    </row>
    <row r="80" spans="1:36" ht="139.5" customHeight="1">
      <c r="A80" s="218"/>
      <c r="B80" s="218"/>
      <c r="C80" s="221"/>
      <c r="D80" s="227"/>
      <c r="E80" s="227"/>
      <c r="F80" s="227"/>
      <c r="G80" s="221"/>
      <c r="H80" s="215"/>
      <c r="I80" s="2" t="s">
        <v>352</v>
      </c>
      <c r="J80" s="4">
        <v>600</v>
      </c>
      <c r="K80" s="52" t="str">
        <f t="shared" si="9"/>
        <v>Alta</v>
      </c>
      <c r="L80" s="54">
        <f t="shared" si="0"/>
        <v>0.8</v>
      </c>
      <c r="M80" s="55" t="s">
        <v>110</v>
      </c>
      <c r="N80" s="53" t="str">
        <f>IF(NOT(ISERROR(MATCH(M80,'Validacion de datos'!$H$14:$H$16,0))),'Validacion de datos'!$J$16&amp;"Por favor no seleccionar los criterios de impacto(Afectación Económica o presupuestal y Pérdida Reputacional)",M80)</f>
        <v>El riesgo afecta la imagen de la entidad con algunos usuarios de relevancia frente al logro de los objetivos</v>
      </c>
      <c r="O80" s="52" t="str">
        <f>IF(OR(N80=IMPACTO!$C$3,N80=IMPACTO!$D$3),"Leve",IF(OR(N80=IMPACTO!$C$4,N80=IMPACTO!$D$4),"Menor",IF(OR(N80=IMPACTO!$C$5,N80=IMPACTO!$D$5),"Moderado",IF(OR(N80=IMPACTO!$C$6,N80=IMPACTO!$D$6),"Mayor",IF(OR(N80=IMPACTO!$C$7,N80=IMPACTO!$D$7),"Catastrófico","")))))</f>
        <v>Moderado</v>
      </c>
      <c r="P80" s="54">
        <f t="shared" si="10"/>
        <v>0.6</v>
      </c>
      <c r="Q80" s="78" t="str">
        <f t="shared" si="17"/>
        <v>Alto</v>
      </c>
      <c r="R80" s="39">
        <v>2</v>
      </c>
      <c r="S80" s="83" t="s">
        <v>353</v>
      </c>
      <c r="T80" s="215"/>
      <c r="U80" s="68" t="str">
        <f t="shared" si="1"/>
        <v/>
      </c>
      <c r="V80" s="64"/>
      <c r="W80" s="64"/>
      <c r="X80" s="69" t="str">
        <f t="shared" si="136"/>
        <v/>
      </c>
      <c r="Y80" s="64"/>
      <c r="Z80" s="64"/>
      <c r="AA80" s="64"/>
      <c r="AB80" s="65" t="str">
        <f t="shared" si="137"/>
        <v/>
      </c>
      <c r="AC80" s="70" t="str">
        <f t="shared" si="138"/>
        <v/>
      </c>
      <c r="AD80" s="75" t="str">
        <f t="shared" si="139"/>
        <v/>
      </c>
      <c r="AE80" s="70" t="str">
        <f t="shared" si="140"/>
        <v/>
      </c>
      <c r="AF80" s="69" t="str">
        <f t="shared" si="141"/>
        <v/>
      </c>
      <c r="AG80" s="71" t="str">
        <f t="shared" si="142"/>
        <v/>
      </c>
      <c r="AH80" s="64"/>
      <c r="AI80" s="161"/>
      <c r="AJ80" s="64"/>
    </row>
    <row r="81" spans="1:36" ht="138">
      <c r="A81" s="1">
        <v>43</v>
      </c>
      <c r="B81" s="216" t="s">
        <v>354</v>
      </c>
      <c r="C81" s="219" t="str">
        <f>+IFERROR(VLOOKUP(B81,'[1]Validacion de datos'!A:B,2,0),"")</f>
        <v>Gestionar de manera eficiente la administración, manejo y custodia de los documentos generados en la entidad, para fortalecer eficazmente la gestión documental de la Empresa de Vivienda de Antioquia-VIVA, a través de los elementos técnicos, normativos y operativos necesarios para su adecuado funcionamiento.</v>
      </c>
      <c r="D81" s="7"/>
      <c r="E81" s="7" t="s">
        <v>93</v>
      </c>
      <c r="F81" s="7" t="s">
        <v>129</v>
      </c>
      <c r="G81" s="19" t="s">
        <v>355</v>
      </c>
      <c r="H81" s="40" t="s">
        <v>356</v>
      </c>
      <c r="I81" s="2" t="s">
        <v>357</v>
      </c>
      <c r="J81" s="4">
        <v>600</v>
      </c>
      <c r="K81" s="52" t="str">
        <f t="shared" ref="K81:K85" si="143">IF(J81&lt;=0,"",IF(J81&lt;=2,"Muy Baja",IF(J81&lt;=24,"Baja",IF(J81&lt;=500,"Media",IF(J81&lt;=5000,"Alta","Muy Alta")))))</f>
        <v>Alta</v>
      </c>
      <c r="L81" s="54">
        <f t="shared" ref="L81:L85" si="144">IF(K81="","",IF(K81="Muy Baja",0.2,IF(K81="Baja",0.4,IF(K81="Media",0.6,IF(K81="Alta",0.8,IF(K81="Muy Alta",1,))))))</f>
        <v>0.8</v>
      </c>
      <c r="M81" s="55" t="s">
        <v>110</v>
      </c>
      <c r="N81" s="53" t="str">
        <f>IF(NOT(ISERROR(MATCH(M81,'[1]Validacion de datos'!$H$14:$H$16,0))),'[1]Validacion de datos'!$J$16&amp;"Por favor no seleccionar los criterios de impacto(Afectación Económica o presupuestal y Pérdida Reputacional)",M81)</f>
        <v>El riesgo afecta la imagen de la entidad con algunos usuarios de relevancia frente al logro de los objetivos</v>
      </c>
      <c r="O81" s="52" t="str">
        <f>IF(OR(N81=[1]IMPACTO!$C$3,N81=[1]IMPACTO!$D$3),"Leve",IF(OR(N81=[1]IMPACTO!$C$4,N81=[1]IMPACTO!$D$4),"Menor",IF(OR(N81=[1]IMPACTO!$C$5,N81=[1]IMPACTO!$D$5),"Moderado",IF(OR(N81=[1]IMPACTO!$C$6,N81=[1]IMPACTO!$D$6),"Mayor",IF(OR(N81=[1]IMPACTO!$C$7,N81=[1]IMPACTO!$D$7),"Catastrófico","")))))</f>
        <v>Moderado</v>
      </c>
      <c r="P81" s="54">
        <f t="shared" ref="P81:P85" si="145">IF(O81="","",IF(O81="Leve",0.2,IF(O81="Menor",0.4,IF(O81="Moderado",0.6,IF(O81="Mayor",0.8,IF(O81="Catastrófico",1,))))))</f>
        <v>0.6</v>
      </c>
      <c r="Q81" s="78" t="str">
        <f t="shared" ref="Q81:Q85" si="146">IF(OR(AND(K81="Muy Baja",O81="Leve"),AND(K81="Muy Baja",O81="Menor"),AND(K81="Baja",O81="Leve")),"Bajo",IF(OR(AND(K81="Muy baja",O81="Moderado"),AND(K81="Baja",O81="Menor"),AND(K81="Baja",O81="Moderado"),AND(K81="Media",O81="Leve"),AND(K81="Media",O81="Menor"),AND(K81="Media",O81="Moderado"),AND(K81="Alta",O81="Leve"),AND(K81="Alta",O81="Menor")),"Moderado",IF(OR(AND(K81="Muy Baja",O81="Mayor"),AND(K81="Baja",O81="Mayor"),AND(K81="Media",O81="Mayor"),AND(K81="Alta",O81="Moderado"),AND(K81="Alta",O81="Mayor"),AND(K81="Muy Alta",O81="Leve"),AND(K81="Muy Alta",O81="Menor"),AND(K81="Muy Alta",O81="Moderado"),AND(K81="Muy Alta",O81="Mayor")),"Alto",IF(OR(AND(K81="Muy Baja",O81="Catastrófico"),AND(K81="Baja",O81="Catastrófico"),AND(K81="Media",O81="Catastrófico"),AND(K81="Alta",O81="Catastrófico"),AND(K81="Muy Alta",O81="Catastrófico")),"Extremo",""))))</f>
        <v>Alto</v>
      </c>
      <c r="R81" s="39">
        <v>1</v>
      </c>
      <c r="S81" s="40" t="s">
        <v>358</v>
      </c>
      <c r="T81" s="4" t="s">
        <v>359</v>
      </c>
      <c r="U81" s="68" t="str">
        <f t="shared" ref="U81:U85" si="147">IF(OR(V81="Preventivo",V81="Detectivo"),"Probabilidad",IF(V81="Correctivo","Impacto",""))</f>
        <v/>
      </c>
      <c r="V81" s="64"/>
      <c r="W81" s="64"/>
      <c r="X81" s="69" t="str">
        <f t="shared" si="136"/>
        <v/>
      </c>
      <c r="Y81" s="64"/>
      <c r="Z81" s="64"/>
      <c r="AA81" s="64"/>
      <c r="AB81" s="65" t="str">
        <f t="shared" si="137"/>
        <v/>
      </c>
      <c r="AC81" s="70" t="str">
        <f t="shared" si="138"/>
        <v/>
      </c>
      <c r="AD81" s="75" t="str">
        <f t="shared" si="139"/>
        <v/>
      </c>
      <c r="AE81" s="70" t="str">
        <f t="shared" si="140"/>
        <v/>
      </c>
      <c r="AF81" s="69" t="str">
        <f t="shared" si="141"/>
        <v/>
      </c>
      <c r="AG81" s="71" t="str">
        <f t="shared" si="142"/>
        <v/>
      </c>
      <c r="AH81" s="64"/>
      <c r="AI81" s="172"/>
      <c r="AJ81" s="173"/>
    </row>
    <row r="82" spans="1:36" ht="124.15">
      <c r="A82" s="216">
        <v>44</v>
      </c>
      <c r="B82" s="217"/>
      <c r="C82" s="220"/>
      <c r="D82" s="225"/>
      <c r="E82" s="225" t="s">
        <v>93</v>
      </c>
      <c r="F82" s="225" t="s">
        <v>94</v>
      </c>
      <c r="G82" s="219" t="s">
        <v>360</v>
      </c>
      <c r="H82" s="233" t="s">
        <v>361</v>
      </c>
      <c r="I82" s="2" t="s">
        <v>362</v>
      </c>
      <c r="J82" s="4">
        <v>243</v>
      </c>
      <c r="K82" s="52" t="str">
        <f t="shared" si="143"/>
        <v>Media</v>
      </c>
      <c r="L82" s="54">
        <f t="shared" si="144"/>
        <v>0.6</v>
      </c>
      <c r="M82" s="55" t="s">
        <v>117</v>
      </c>
      <c r="N82" s="53" t="str">
        <f>IF(NOT(ISERROR(MATCH(M82,'[1]Validacion de datos'!$H$14:$H$16,0))),'[1]Validacion de datos'!$J$16&amp;"Por favor no seleccionar los criterios de impacto(Afectación Económica o presupuestal y Pérdida Reputacional)",M82)</f>
        <v>El riesgo afecta la imagen de de la entidad con efecto publicitario sostenido a nivel de sector administrativo, nivel departamental o municipal</v>
      </c>
      <c r="O82" s="52" t="str">
        <f>IF(OR(N82=[1]IMPACTO!$C$3,N82=[1]IMPACTO!$D$3),"Leve",IF(OR(N82=[1]IMPACTO!$C$4,N82=[1]IMPACTO!$D$4),"Menor",IF(OR(N82=[1]IMPACTO!$C$5,N82=[1]IMPACTO!$D$5),"Moderado",IF(OR(N82=[1]IMPACTO!$C$6,N82=[1]IMPACTO!$D$6),"Mayor",IF(OR(N82=[1]IMPACTO!$C$7,N82=[1]IMPACTO!$D$7),"Catastrófico","")))))</f>
        <v>Mayor</v>
      </c>
      <c r="P82" s="54">
        <f t="shared" si="145"/>
        <v>0.8</v>
      </c>
      <c r="Q82" s="78" t="str">
        <f t="shared" si="146"/>
        <v>Alto</v>
      </c>
      <c r="R82" s="39">
        <v>1</v>
      </c>
      <c r="S82" s="40" t="s">
        <v>363</v>
      </c>
      <c r="T82" s="213" t="s">
        <v>364</v>
      </c>
      <c r="U82" s="68" t="str">
        <f t="shared" si="147"/>
        <v/>
      </c>
      <c r="V82" s="64"/>
      <c r="W82" s="64"/>
      <c r="X82" s="69" t="str">
        <f t="shared" si="136"/>
        <v/>
      </c>
      <c r="Y82" s="64"/>
      <c r="Z82" s="64"/>
      <c r="AA82" s="64"/>
      <c r="AB82" s="65" t="str">
        <f t="shared" si="137"/>
        <v/>
      </c>
      <c r="AC82" s="70" t="str">
        <f t="shared" si="138"/>
        <v/>
      </c>
      <c r="AD82" s="75" t="str">
        <f t="shared" si="139"/>
        <v/>
      </c>
      <c r="AE82" s="70" t="str">
        <f t="shared" si="140"/>
        <v/>
      </c>
      <c r="AF82" s="69" t="str">
        <f t="shared" si="141"/>
        <v/>
      </c>
      <c r="AG82" s="71" t="str">
        <f t="shared" si="142"/>
        <v/>
      </c>
      <c r="AH82" s="64"/>
      <c r="AI82" s="172"/>
      <c r="AJ82" s="173"/>
    </row>
    <row r="83" spans="1:36" ht="69">
      <c r="A83" s="217"/>
      <c r="B83" s="217"/>
      <c r="C83" s="220"/>
      <c r="D83" s="226"/>
      <c r="E83" s="226"/>
      <c r="F83" s="226"/>
      <c r="G83" s="220"/>
      <c r="H83" s="234"/>
      <c r="I83" s="2" t="s">
        <v>365</v>
      </c>
      <c r="J83" s="4">
        <v>243</v>
      </c>
      <c r="K83" s="52" t="str">
        <f t="shared" si="143"/>
        <v>Media</v>
      </c>
      <c r="L83" s="54">
        <f t="shared" si="144"/>
        <v>0.6</v>
      </c>
      <c r="M83" s="55" t="s">
        <v>117</v>
      </c>
      <c r="N83" s="53" t="str">
        <f>IF(NOT(ISERROR(MATCH(M83,'[1]Validacion de datos'!$H$14:$H$16,0))),'[1]Validacion de datos'!$J$16&amp;"Por favor no seleccionar los criterios de impacto(Afectación Económica o presupuestal y Pérdida Reputacional)",M83)</f>
        <v>El riesgo afecta la imagen de de la entidad con efecto publicitario sostenido a nivel de sector administrativo, nivel departamental o municipal</v>
      </c>
      <c r="O83" s="52" t="str">
        <f>IF(OR(N83=[1]IMPACTO!$C$3,N83=[1]IMPACTO!$D$3),"Leve",IF(OR(N83=[1]IMPACTO!$C$4,N83=[1]IMPACTO!$D$4),"Menor",IF(OR(N83=[1]IMPACTO!$C$5,N83=[1]IMPACTO!$D$5),"Moderado",IF(OR(N83=[1]IMPACTO!$C$6,N83=[1]IMPACTO!$D$6),"Mayor",IF(OR(N83=[1]IMPACTO!$C$7,N83=[1]IMPACTO!$D$7),"Catastrófico","")))))</f>
        <v>Mayor</v>
      </c>
      <c r="P83" s="54">
        <f t="shared" si="145"/>
        <v>0.8</v>
      </c>
      <c r="Q83" s="78" t="str">
        <f t="shared" si="146"/>
        <v>Alto</v>
      </c>
      <c r="R83" s="39">
        <v>2</v>
      </c>
      <c r="S83" s="83" t="s">
        <v>366</v>
      </c>
      <c r="T83" s="230"/>
      <c r="U83" s="68" t="str">
        <f t="shared" si="147"/>
        <v/>
      </c>
      <c r="V83" s="64"/>
      <c r="W83" s="64"/>
      <c r="X83" s="69" t="str">
        <f t="shared" si="136"/>
        <v/>
      </c>
      <c r="Y83" s="64"/>
      <c r="Z83" s="64"/>
      <c r="AA83" s="64"/>
      <c r="AB83" s="65" t="str">
        <f t="shared" si="137"/>
        <v/>
      </c>
      <c r="AC83" s="70" t="str">
        <f t="shared" si="138"/>
        <v/>
      </c>
      <c r="AD83" s="75" t="str">
        <f t="shared" si="139"/>
        <v/>
      </c>
      <c r="AE83" s="70" t="str">
        <f t="shared" si="140"/>
        <v/>
      </c>
      <c r="AF83" s="69" t="str">
        <f t="shared" si="141"/>
        <v/>
      </c>
      <c r="AG83" s="71" t="str">
        <f t="shared" si="142"/>
        <v/>
      </c>
      <c r="AH83" s="64"/>
      <c r="AI83" s="172"/>
      <c r="AJ83" s="173"/>
    </row>
    <row r="84" spans="1:36" ht="96.6">
      <c r="A84" s="218"/>
      <c r="B84" s="217"/>
      <c r="C84" s="220"/>
      <c r="D84" s="227"/>
      <c r="E84" s="227"/>
      <c r="F84" s="227"/>
      <c r="G84" s="221"/>
      <c r="H84" s="235"/>
      <c r="I84" s="2" t="s">
        <v>367</v>
      </c>
      <c r="J84" s="4">
        <v>243</v>
      </c>
      <c r="K84" s="52" t="str">
        <f t="shared" si="143"/>
        <v>Media</v>
      </c>
      <c r="L84" s="54">
        <f t="shared" si="144"/>
        <v>0.6</v>
      </c>
      <c r="M84" s="55" t="s">
        <v>117</v>
      </c>
      <c r="N84" s="53" t="str">
        <f>IF(NOT(ISERROR(MATCH(M84,'[1]Validacion de datos'!$H$14:$H$16,0))),'[1]Validacion de datos'!$J$16&amp;"Por favor no seleccionar los criterios de impacto(Afectación Económica o presupuestal y Pérdida Reputacional)",M84)</f>
        <v>El riesgo afecta la imagen de de la entidad con efecto publicitario sostenido a nivel de sector administrativo, nivel departamental o municipal</v>
      </c>
      <c r="O84" s="52" t="str">
        <f>IF(OR(N84=[1]IMPACTO!$C$3,N84=[1]IMPACTO!$D$3),"Leve",IF(OR(N84=[1]IMPACTO!$C$4,N84=[1]IMPACTO!$D$4),"Menor",IF(OR(N84=[1]IMPACTO!$C$5,N84=[1]IMPACTO!$D$5),"Moderado",IF(OR(N84=[1]IMPACTO!$C$6,N84=[1]IMPACTO!$D$6),"Mayor",IF(OR(N84=[1]IMPACTO!$C$7,N84=[1]IMPACTO!$D$7),"Catastrófico","")))))</f>
        <v>Mayor</v>
      </c>
      <c r="P84" s="54">
        <f t="shared" si="145"/>
        <v>0.8</v>
      </c>
      <c r="Q84" s="78" t="str">
        <f t="shared" si="146"/>
        <v>Alto</v>
      </c>
      <c r="R84" s="39">
        <v>3</v>
      </c>
      <c r="S84" s="83" t="s">
        <v>368</v>
      </c>
      <c r="T84" s="231"/>
      <c r="U84" s="68" t="str">
        <f t="shared" si="147"/>
        <v/>
      </c>
      <c r="V84" s="64"/>
      <c r="W84" s="64"/>
      <c r="X84" s="69" t="str">
        <f t="shared" si="136"/>
        <v/>
      </c>
      <c r="Y84" s="64"/>
      <c r="Z84" s="64"/>
      <c r="AA84" s="64"/>
      <c r="AB84" s="65" t="str">
        <f t="shared" si="137"/>
        <v/>
      </c>
      <c r="AC84" s="70" t="str">
        <f t="shared" si="138"/>
        <v/>
      </c>
      <c r="AD84" s="75" t="str">
        <f t="shared" si="139"/>
        <v/>
      </c>
      <c r="AE84" s="70" t="str">
        <f t="shared" si="140"/>
        <v/>
      </c>
      <c r="AF84" s="69" t="str">
        <f t="shared" si="141"/>
        <v/>
      </c>
      <c r="AG84" s="71" t="str">
        <f t="shared" si="142"/>
        <v/>
      </c>
      <c r="AH84" s="64"/>
      <c r="AI84" s="172"/>
      <c r="AJ84" s="173"/>
    </row>
    <row r="85" spans="1:36" ht="120">
      <c r="A85" s="1">
        <v>45</v>
      </c>
      <c r="B85" s="218"/>
      <c r="C85" s="221"/>
      <c r="D85" s="7" t="s">
        <v>106</v>
      </c>
      <c r="E85" s="7"/>
      <c r="F85" s="7" t="s">
        <v>129</v>
      </c>
      <c r="G85" s="19" t="s">
        <v>369</v>
      </c>
      <c r="H85" s="40" t="s">
        <v>370</v>
      </c>
      <c r="I85" s="2" t="s">
        <v>371</v>
      </c>
      <c r="J85" s="4">
        <v>243</v>
      </c>
      <c r="K85" s="52" t="str">
        <f t="shared" si="143"/>
        <v>Media</v>
      </c>
      <c r="L85" s="54">
        <f t="shared" si="144"/>
        <v>0.6</v>
      </c>
      <c r="M85" s="55" t="s">
        <v>110</v>
      </c>
      <c r="N85" s="53" t="str">
        <f>IF(NOT(ISERROR(MATCH(M85,'[1]Validacion de datos'!$H$14:$H$16,0))),'[1]Validacion de datos'!$J$16&amp;"Por favor no seleccionar los criterios de impacto(Afectación Económica o presupuestal y Pérdida Reputacional)",M85)</f>
        <v>El riesgo afecta la imagen de la entidad con algunos usuarios de relevancia frente al logro de los objetivos</v>
      </c>
      <c r="O85" s="52" t="str">
        <f>IF(OR(N85=[1]IMPACTO!$C$3,N85=[1]IMPACTO!$D$3),"Leve",IF(OR(N85=[1]IMPACTO!$C$4,N85=[1]IMPACTO!$D$4),"Menor",IF(OR(N85=[1]IMPACTO!$C$5,N85=[1]IMPACTO!$D$5),"Moderado",IF(OR(N85=[1]IMPACTO!$C$6,N85=[1]IMPACTO!$D$6),"Mayor",IF(OR(N85=[1]IMPACTO!$C$7,N85=[1]IMPACTO!$D$7),"Catastrófico","")))))</f>
        <v>Moderado</v>
      </c>
      <c r="P85" s="54">
        <f t="shared" si="145"/>
        <v>0.6</v>
      </c>
      <c r="Q85" s="78" t="str">
        <f t="shared" si="146"/>
        <v>Moderado</v>
      </c>
      <c r="R85" s="39">
        <v>1</v>
      </c>
      <c r="S85" s="83" t="s">
        <v>372</v>
      </c>
      <c r="T85" s="5" t="s">
        <v>373</v>
      </c>
      <c r="U85" s="68" t="str">
        <f t="shared" si="147"/>
        <v/>
      </c>
      <c r="V85" s="64"/>
      <c r="W85" s="64"/>
      <c r="X85" s="69" t="str">
        <f t="shared" si="136"/>
        <v/>
      </c>
      <c r="Y85" s="64"/>
      <c r="Z85" s="64"/>
      <c r="AA85" s="64"/>
      <c r="AB85" s="65" t="str">
        <f t="shared" si="137"/>
        <v/>
      </c>
      <c r="AC85" s="70" t="str">
        <f t="shared" si="138"/>
        <v/>
      </c>
      <c r="AD85" s="75" t="str">
        <f t="shared" si="139"/>
        <v/>
      </c>
      <c r="AE85" s="70" t="str">
        <f t="shared" si="140"/>
        <v/>
      </c>
      <c r="AF85" s="69" t="str">
        <f t="shared" si="141"/>
        <v/>
      </c>
      <c r="AG85" s="71" t="str">
        <f t="shared" si="142"/>
        <v/>
      </c>
      <c r="AH85" s="64"/>
      <c r="AI85" s="172"/>
      <c r="AJ85" s="173"/>
    </row>
    <row r="86" spans="1:36" ht="222.6" customHeight="1">
      <c r="A86" s="1">
        <v>46</v>
      </c>
      <c r="B86" s="1" t="s">
        <v>374</v>
      </c>
      <c r="C86" s="19" t="str">
        <f>+IFERROR(VLOOKUP(B86,'Validacion de datos'!A:B,2,0),"")</f>
        <v>Tramitar la fase de instrucción de los procesos disciplinarios por la presunta comisión de conductas que puedan constituirse como falta disciplinaria y que le sea atribuible a los funcionarios y exfuncionarios de la Empresa de Vivienda de Antioquia – VIVA en el ejercicio de sus funciones, ejecutando los procesos administrativos pertinentes con el fin de determinar su responsabilidad conforme a la Constitución y la Ley.</v>
      </c>
      <c r="D86" s="7"/>
      <c r="E86" s="7" t="s">
        <v>156</v>
      </c>
      <c r="F86" s="7" t="s">
        <v>129</v>
      </c>
      <c r="G86" s="19" t="s">
        <v>375</v>
      </c>
      <c r="H86" s="81" t="s">
        <v>376</v>
      </c>
      <c r="I86" s="6" t="s">
        <v>377</v>
      </c>
      <c r="J86" s="4">
        <v>7</v>
      </c>
      <c r="K86" s="52" t="str">
        <f t="shared" si="9"/>
        <v>Baja</v>
      </c>
      <c r="L86" s="54">
        <f t="shared" si="0"/>
        <v>0.4</v>
      </c>
      <c r="M86" s="55" t="s">
        <v>98</v>
      </c>
      <c r="N86" s="53" t="str">
        <f>IF(NOT(ISERROR(MATCH(M86,'Validacion de datos'!$H$14:$H$16,0))),'Validacion de datos'!$J$16&amp;"Por favor no seleccionar los criterios de impacto(Afectación Económica o presupuestal y Pérdida Reputacional)",M86)</f>
        <v>El riesgo afecta la imagen de alguna área de la organización</v>
      </c>
      <c r="O86" s="52" t="str">
        <f>IF(OR(N86=IMPACTO!$C$3,N86=IMPACTO!$D$3),"Leve",IF(OR(N86=IMPACTO!$C$4,N86=IMPACTO!$D$4),"Menor",IF(OR(N86=IMPACTO!$C$5,N86=IMPACTO!$D$5),"Moderado",IF(OR(N86=IMPACTO!$C$6,N86=IMPACTO!$D$6),"Mayor",IF(OR(N86=IMPACTO!$C$7,N86=IMPACTO!$D$7),"Catastrófico","")))))</f>
        <v>Leve</v>
      </c>
      <c r="P86" s="54">
        <f t="shared" si="10"/>
        <v>0.2</v>
      </c>
      <c r="Q86" s="78" t="str">
        <f t="shared" si="17"/>
        <v>Bajo</v>
      </c>
      <c r="R86" s="39">
        <v>1</v>
      </c>
      <c r="S86" s="83" t="s">
        <v>378</v>
      </c>
      <c r="T86" s="5" t="s">
        <v>379</v>
      </c>
      <c r="U86" s="68" t="str">
        <f t="shared" si="1"/>
        <v/>
      </c>
      <c r="V86" s="64"/>
      <c r="W86" s="64"/>
      <c r="X86" s="69" t="str">
        <f t="shared" si="12"/>
        <v/>
      </c>
      <c r="Y86" s="64"/>
      <c r="Z86" s="64"/>
      <c r="AA86" s="64"/>
      <c r="AB86" s="65" t="str">
        <f t="shared" si="13"/>
        <v/>
      </c>
      <c r="AC86" s="70" t="str">
        <f t="shared" si="4"/>
        <v/>
      </c>
      <c r="AD86" s="75" t="str">
        <f t="shared" si="14"/>
        <v/>
      </c>
      <c r="AE86" s="70" t="str">
        <f t="shared" si="6"/>
        <v/>
      </c>
      <c r="AF86" s="69" t="str">
        <f t="shared" si="15"/>
        <v/>
      </c>
      <c r="AG86" s="71" t="str">
        <f t="shared" si="16"/>
        <v/>
      </c>
      <c r="AH86" s="64"/>
      <c r="AI86" s="161"/>
      <c r="AJ86" s="64"/>
    </row>
    <row r="87" spans="1:36" ht="187.5" customHeight="1">
      <c r="A87" s="216">
        <v>47</v>
      </c>
      <c r="B87" s="216" t="s">
        <v>380</v>
      </c>
      <c r="C87" s="219" t="str">
        <f>+IFERROR(VLOOKUP(B87,'Validacion de datos'!A:B,2,0),"")</f>
        <v>Fortalecer la confidencialidad, la integridad y disponibilidad de la información, mediante procedimientos, lineamientos y herramientas tecnológicas que generen cumplimiento y apoyo a los demás procesos de la entidad, enfocando los esfuerzos en la generación de cultura y cuidado de la seguridad informática</v>
      </c>
      <c r="D87" s="225"/>
      <c r="E87" s="225" t="s">
        <v>93</v>
      </c>
      <c r="F87" s="225" t="s">
        <v>381</v>
      </c>
      <c r="G87" s="219" t="s">
        <v>382</v>
      </c>
      <c r="H87" s="228" t="s">
        <v>383</v>
      </c>
      <c r="I87" s="81" t="s">
        <v>384</v>
      </c>
      <c r="J87" s="4">
        <v>243</v>
      </c>
      <c r="K87" s="52" t="str">
        <f t="shared" si="9"/>
        <v>Media</v>
      </c>
      <c r="L87" s="54">
        <f t="shared" si="0"/>
        <v>0.6</v>
      </c>
      <c r="M87" s="55" t="s">
        <v>110</v>
      </c>
      <c r="N87" s="53" t="str">
        <f>IF(NOT(ISERROR(MATCH(M87,'Validacion de datos'!$H$14:$H$16,0))),'Validacion de datos'!$J$16&amp;"Por favor no seleccionar los criterios de impacto(Afectación Económica o presupuestal y Pérdida Reputacional)",M87)</f>
        <v>El riesgo afecta la imagen de la entidad con algunos usuarios de relevancia frente al logro de los objetivos</v>
      </c>
      <c r="O87" s="52" t="str">
        <f>IF(OR(N87=IMPACTO!$C$3,N87=IMPACTO!$D$3),"Leve",IF(OR(N87=IMPACTO!$C$4,N87=IMPACTO!$D$4),"Menor",IF(OR(N87=IMPACTO!$C$5,N87=IMPACTO!$D$5),"Moderado",IF(OR(N87=IMPACTO!$C$6,N87=IMPACTO!$D$6),"Mayor",IF(OR(N87=IMPACTO!$C$7,N87=IMPACTO!$D$7),"Catastrófico","")))))</f>
        <v>Moderado</v>
      </c>
      <c r="P87" s="54">
        <f t="shared" si="10"/>
        <v>0.6</v>
      </c>
      <c r="Q87" s="78" t="str">
        <f t="shared" si="17"/>
        <v>Moderado</v>
      </c>
      <c r="R87" s="39">
        <v>1</v>
      </c>
      <c r="S87" s="83" t="s">
        <v>385</v>
      </c>
      <c r="T87" s="213" t="s">
        <v>386</v>
      </c>
      <c r="U87" s="68" t="str">
        <f t="shared" si="1"/>
        <v/>
      </c>
      <c r="V87" s="64"/>
      <c r="W87" s="64"/>
      <c r="X87" s="69" t="str">
        <f t="shared" si="12"/>
        <v/>
      </c>
      <c r="Y87" s="64"/>
      <c r="Z87" s="64"/>
      <c r="AA87" s="64"/>
      <c r="AB87" s="65" t="str">
        <f t="shared" si="13"/>
        <v/>
      </c>
      <c r="AC87" s="70" t="str">
        <f t="shared" si="4"/>
        <v/>
      </c>
      <c r="AD87" s="75" t="str">
        <f t="shared" si="14"/>
        <v/>
      </c>
      <c r="AE87" s="70" t="str">
        <f t="shared" si="6"/>
        <v/>
      </c>
      <c r="AF87" s="69" t="str">
        <f t="shared" si="15"/>
        <v/>
      </c>
      <c r="AG87" s="71" t="str">
        <f t="shared" si="16"/>
        <v/>
      </c>
      <c r="AH87" s="64"/>
      <c r="AI87" s="161"/>
      <c r="AJ87" s="64"/>
    </row>
    <row r="88" spans="1:36" ht="187.5" customHeight="1">
      <c r="A88" s="217"/>
      <c r="B88" s="217"/>
      <c r="C88" s="220"/>
      <c r="D88" s="226"/>
      <c r="E88" s="226"/>
      <c r="F88" s="226"/>
      <c r="G88" s="220"/>
      <c r="H88" s="232"/>
      <c r="I88" s="81" t="s">
        <v>387</v>
      </c>
      <c r="J88" s="4">
        <v>243</v>
      </c>
      <c r="K88" s="52" t="str">
        <f t="shared" si="9"/>
        <v>Media</v>
      </c>
      <c r="L88" s="54">
        <f t="shared" si="0"/>
        <v>0.6</v>
      </c>
      <c r="M88" s="55" t="s">
        <v>110</v>
      </c>
      <c r="N88" s="53" t="str">
        <f>IF(NOT(ISERROR(MATCH(M88,'Validacion de datos'!$H$14:$H$16,0))),'Validacion de datos'!$J$16&amp;"Por favor no seleccionar los criterios de impacto(Afectación Económica o presupuestal y Pérdida Reputacional)",M88)</f>
        <v>El riesgo afecta la imagen de la entidad con algunos usuarios de relevancia frente al logro de los objetivos</v>
      </c>
      <c r="O88" s="52" t="str">
        <f>IF(OR(N88=IMPACTO!$C$3,N88=IMPACTO!$D$3),"Leve",IF(OR(N88=IMPACTO!$C$4,N88=IMPACTO!$D$4),"Menor",IF(OR(N88=IMPACTO!$C$5,N88=IMPACTO!$D$5),"Moderado",IF(OR(N88=IMPACTO!$C$6,N88=IMPACTO!$D$6),"Mayor",IF(OR(N88=IMPACTO!$C$7,N88=IMPACTO!$D$7),"Catastrófico","")))))</f>
        <v>Moderado</v>
      </c>
      <c r="P88" s="54">
        <f t="shared" si="10"/>
        <v>0.6</v>
      </c>
      <c r="Q88" s="78" t="str">
        <f t="shared" si="17"/>
        <v>Moderado</v>
      </c>
      <c r="R88" s="39">
        <v>2</v>
      </c>
      <c r="S88" s="83" t="s">
        <v>388</v>
      </c>
      <c r="T88" s="214"/>
      <c r="U88" s="68" t="str">
        <f t="shared" si="1"/>
        <v/>
      </c>
      <c r="V88" s="64"/>
      <c r="W88" s="64"/>
      <c r="X88" s="69" t="str">
        <f t="shared" si="12"/>
        <v/>
      </c>
      <c r="Y88" s="64"/>
      <c r="Z88" s="64"/>
      <c r="AA88" s="64"/>
      <c r="AB88" s="65" t="str">
        <f t="shared" si="13"/>
        <v/>
      </c>
      <c r="AC88" s="70" t="str">
        <f t="shared" si="4"/>
        <v/>
      </c>
      <c r="AD88" s="75" t="str">
        <f t="shared" si="14"/>
        <v/>
      </c>
      <c r="AE88" s="70" t="str">
        <f t="shared" si="6"/>
        <v/>
      </c>
      <c r="AF88" s="69" t="str">
        <f t="shared" si="15"/>
        <v/>
      </c>
      <c r="AG88" s="71" t="str">
        <f t="shared" si="16"/>
        <v/>
      </c>
      <c r="AH88" s="64"/>
      <c r="AI88" s="161"/>
      <c r="AJ88" s="64"/>
    </row>
    <row r="89" spans="1:36" ht="187.5" customHeight="1">
      <c r="A89" s="217"/>
      <c r="B89" s="217"/>
      <c r="C89" s="220"/>
      <c r="D89" s="226"/>
      <c r="E89" s="226"/>
      <c r="F89" s="226"/>
      <c r="G89" s="220"/>
      <c r="H89" s="232"/>
      <c r="I89" s="81" t="s">
        <v>389</v>
      </c>
      <c r="J89" s="4">
        <v>243</v>
      </c>
      <c r="K89" s="52" t="str">
        <f t="shared" si="9"/>
        <v>Media</v>
      </c>
      <c r="L89" s="54">
        <f t="shared" si="0"/>
        <v>0.6</v>
      </c>
      <c r="M89" s="55" t="s">
        <v>110</v>
      </c>
      <c r="N89" s="53" t="str">
        <f>IF(NOT(ISERROR(MATCH(M89,'Validacion de datos'!$H$14:$H$16,0))),'Validacion de datos'!$J$16&amp;"Por favor no seleccionar los criterios de impacto(Afectación Económica o presupuestal y Pérdida Reputacional)",M89)</f>
        <v>El riesgo afecta la imagen de la entidad con algunos usuarios de relevancia frente al logro de los objetivos</v>
      </c>
      <c r="O89" s="52" t="str">
        <f>IF(OR(N89=IMPACTO!$C$3,N89=IMPACTO!$D$3),"Leve",IF(OR(N89=IMPACTO!$C$4,N89=IMPACTO!$D$4),"Menor",IF(OR(N89=IMPACTO!$C$5,N89=IMPACTO!$D$5),"Moderado",IF(OR(N89=IMPACTO!$C$6,N89=IMPACTO!$D$6),"Mayor",IF(OR(N89=IMPACTO!$C$7,N89=IMPACTO!$D$7),"Catastrófico","")))))</f>
        <v>Moderado</v>
      </c>
      <c r="P89" s="54">
        <f t="shared" si="10"/>
        <v>0.6</v>
      </c>
      <c r="Q89" s="78" t="str">
        <f t="shared" si="17"/>
        <v>Moderado</v>
      </c>
      <c r="R89" s="39">
        <v>3</v>
      </c>
      <c r="S89" s="83" t="s">
        <v>390</v>
      </c>
      <c r="T89" s="214"/>
      <c r="U89" s="68" t="str">
        <f t="shared" si="1"/>
        <v/>
      </c>
      <c r="V89" s="64"/>
      <c r="W89" s="64"/>
      <c r="X89" s="69" t="str">
        <f t="shared" si="12"/>
        <v/>
      </c>
      <c r="Y89" s="64"/>
      <c r="Z89" s="64"/>
      <c r="AA89" s="64"/>
      <c r="AB89" s="65" t="str">
        <f t="shared" si="13"/>
        <v/>
      </c>
      <c r="AC89" s="70" t="str">
        <f t="shared" si="4"/>
        <v/>
      </c>
      <c r="AD89" s="75" t="str">
        <f t="shared" si="14"/>
        <v/>
      </c>
      <c r="AE89" s="70" t="str">
        <f t="shared" si="6"/>
        <v/>
      </c>
      <c r="AF89" s="69" t="str">
        <f t="shared" si="15"/>
        <v/>
      </c>
      <c r="AG89" s="71" t="str">
        <f t="shared" si="16"/>
        <v/>
      </c>
      <c r="AH89" s="64"/>
      <c r="AI89" s="161"/>
      <c r="AJ89" s="64"/>
    </row>
    <row r="90" spans="1:36" ht="187.5" customHeight="1">
      <c r="A90" s="218"/>
      <c r="B90" s="217"/>
      <c r="C90" s="220"/>
      <c r="D90" s="227"/>
      <c r="E90" s="227"/>
      <c r="F90" s="227"/>
      <c r="G90" s="221"/>
      <c r="H90" s="229"/>
      <c r="I90" s="81" t="s">
        <v>391</v>
      </c>
      <c r="J90" s="4">
        <v>243</v>
      </c>
      <c r="K90" s="52" t="str">
        <f t="shared" si="9"/>
        <v>Media</v>
      </c>
      <c r="L90" s="54">
        <f t="shared" si="0"/>
        <v>0.6</v>
      </c>
      <c r="M90" s="55" t="s">
        <v>110</v>
      </c>
      <c r="N90" s="53" t="str">
        <f>IF(NOT(ISERROR(MATCH(M90,'Validacion de datos'!$H$14:$H$16,0))),'Validacion de datos'!$J$16&amp;"Por favor no seleccionar los criterios de impacto(Afectación Económica o presupuestal y Pérdida Reputacional)",M90)</f>
        <v>El riesgo afecta la imagen de la entidad con algunos usuarios de relevancia frente al logro de los objetivos</v>
      </c>
      <c r="O90" s="52" t="str">
        <f>IF(OR(N90=IMPACTO!$C$3,N90=IMPACTO!$D$3),"Leve",IF(OR(N90=IMPACTO!$C$4,N90=IMPACTO!$D$4),"Menor",IF(OR(N90=IMPACTO!$C$5,N90=IMPACTO!$D$5),"Moderado",IF(OR(N90=IMPACTO!$C$6,N90=IMPACTO!$D$6),"Mayor",IF(OR(N90=IMPACTO!$C$7,N90=IMPACTO!$D$7),"Catastrófico","")))))</f>
        <v>Moderado</v>
      </c>
      <c r="P90" s="54">
        <f t="shared" si="10"/>
        <v>0.6</v>
      </c>
      <c r="Q90" s="78" t="str">
        <f t="shared" si="17"/>
        <v>Moderado</v>
      </c>
      <c r="R90" s="39">
        <v>4</v>
      </c>
      <c r="S90" s="83" t="s">
        <v>392</v>
      </c>
      <c r="T90" s="215"/>
      <c r="U90" s="68" t="str">
        <f t="shared" si="1"/>
        <v/>
      </c>
      <c r="V90" s="64"/>
      <c r="W90" s="64"/>
      <c r="X90" s="69" t="str">
        <f t="shared" si="12"/>
        <v/>
      </c>
      <c r="Y90" s="64"/>
      <c r="Z90" s="64"/>
      <c r="AA90" s="64"/>
      <c r="AB90" s="65" t="str">
        <f t="shared" si="13"/>
        <v/>
      </c>
      <c r="AC90" s="70" t="str">
        <f t="shared" si="4"/>
        <v/>
      </c>
      <c r="AD90" s="75" t="str">
        <f t="shared" si="14"/>
        <v/>
      </c>
      <c r="AE90" s="70" t="str">
        <f t="shared" si="6"/>
        <v/>
      </c>
      <c r="AF90" s="69" t="str">
        <f t="shared" si="15"/>
        <v/>
      </c>
      <c r="AG90" s="71" t="str">
        <f t="shared" si="16"/>
        <v/>
      </c>
      <c r="AH90" s="64"/>
      <c r="AI90" s="161"/>
      <c r="AJ90" s="64"/>
    </row>
    <row r="91" spans="1:36" ht="157.5" customHeight="1">
      <c r="A91" s="216">
        <v>48</v>
      </c>
      <c r="B91" s="217"/>
      <c r="C91" s="220"/>
      <c r="D91" s="225"/>
      <c r="E91" s="225" t="s">
        <v>93</v>
      </c>
      <c r="F91" s="225" t="s">
        <v>129</v>
      </c>
      <c r="G91" s="219" t="s">
        <v>393</v>
      </c>
      <c r="H91" s="228" t="s">
        <v>394</v>
      </c>
      <c r="I91" s="81" t="s">
        <v>395</v>
      </c>
      <c r="J91" s="4">
        <v>365</v>
      </c>
      <c r="K91" s="52" t="str">
        <f t="shared" si="9"/>
        <v>Media</v>
      </c>
      <c r="L91" s="54">
        <f t="shared" si="0"/>
        <v>0.6</v>
      </c>
      <c r="M91" s="55" t="s">
        <v>110</v>
      </c>
      <c r="N91" s="53" t="str">
        <f>IF(NOT(ISERROR(MATCH(M91,'Validacion de datos'!$H$14:$H$16,0))),'Validacion de datos'!$J$16&amp;"Por favor no seleccionar los criterios de impacto(Afectación Económica o presupuestal y Pérdida Reputacional)",M91)</f>
        <v>El riesgo afecta la imagen de la entidad con algunos usuarios de relevancia frente al logro de los objetivos</v>
      </c>
      <c r="O91" s="52" t="str">
        <f>IF(OR(N91=IMPACTO!$C$3,N91=IMPACTO!$D$3),"Leve",IF(OR(N91=IMPACTO!$C$4,N91=IMPACTO!$D$4),"Menor",IF(OR(N91=IMPACTO!$C$5,N91=IMPACTO!$D$5),"Moderado",IF(OR(N91=IMPACTO!$C$6,N91=IMPACTO!$D$6),"Mayor",IF(OR(N91=IMPACTO!$C$7,N91=IMPACTO!$D$7),"Catastrófico","")))))</f>
        <v>Moderado</v>
      </c>
      <c r="P91" s="54">
        <f t="shared" si="10"/>
        <v>0.6</v>
      </c>
      <c r="Q91" s="78" t="str">
        <f t="shared" si="17"/>
        <v>Moderado</v>
      </c>
      <c r="R91" s="39">
        <v>1</v>
      </c>
      <c r="S91" s="83" t="s">
        <v>396</v>
      </c>
      <c r="T91" s="213" t="s">
        <v>397</v>
      </c>
      <c r="U91" s="68" t="str">
        <f t="shared" si="1"/>
        <v/>
      </c>
      <c r="V91" s="64"/>
      <c r="W91" s="64"/>
      <c r="X91" s="69" t="str">
        <f t="shared" si="12"/>
        <v/>
      </c>
      <c r="Y91" s="64"/>
      <c r="Z91" s="64"/>
      <c r="AA91" s="64"/>
      <c r="AB91" s="65" t="str">
        <f t="shared" si="13"/>
        <v/>
      </c>
      <c r="AC91" s="70" t="str">
        <f t="shared" si="4"/>
        <v/>
      </c>
      <c r="AD91" s="75" t="str">
        <f t="shared" si="14"/>
        <v/>
      </c>
      <c r="AE91" s="70" t="str">
        <f t="shared" si="6"/>
        <v/>
      </c>
      <c r="AF91" s="69" t="str">
        <f t="shared" si="15"/>
        <v/>
      </c>
      <c r="AG91" s="71" t="str">
        <f t="shared" si="16"/>
        <v/>
      </c>
      <c r="AH91" s="64"/>
      <c r="AI91" s="161"/>
      <c r="AJ91" s="64"/>
    </row>
    <row r="92" spans="1:36" ht="157.5" customHeight="1">
      <c r="A92" s="218"/>
      <c r="B92" s="217"/>
      <c r="C92" s="220"/>
      <c r="D92" s="227"/>
      <c r="E92" s="227"/>
      <c r="F92" s="227"/>
      <c r="G92" s="221"/>
      <c r="H92" s="229"/>
      <c r="I92" s="81" t="s">
        <v>398</v>
      </c>
      <c r="J92" s="4">
        <v>365</v>
      </c>
      <c r="K92" s="52" t="str">
        <f t="shared" si="9"/>
        <v>Media</v>
      </c>
      <c r="L92" s="54">
        <f t="shared" si="0"/>
        <v>0.6</v>
      </c>
      <c r="M92" s="55" t="s">
        <v>110</v>
      </c>
      <c r="N92" s="53" t="str">
        <f>IF(NOT(ISERROR(MATCH(M92,'Validacion de datos'!$H$14:$H$16,0))),'Validacion de datos'!$J$16&amp;"Por favor no seleccionar los criterios de impacto(Afectación Económica o presupuestal y Pérdida Reputacional)",M92)</f>
        <v>El riesgo afecta la imagen de la entidad con algunos usuarios de relevancia frente al logro de los objetivos</v>
      </c>
      <c r="O92" s="52" t="str">
        <f>IF(OR(N92=IMPACTO!$C$3,N92=IMPACTO!$D$3),"Leve",IF(OR(N92=IMPACTO!$C$4,N92=IMPACTO!$D$4),"Menor",IF(OR(N92=IMPACTO!$C$5,N92=IMPACTO!$D$5),"Moderado",IF(OR(N92=IMPACTO!$C$6,N92=IMPACTO!$D$6),"Mayor",IF(OR(N92=IMPACTO!$C$7,N92=IMPACTO!$D$7),"Catastrófico","")))))</f>
        <v>Moderado</v>
      </c>
      <c r="P92" s="54">
        <f t="shared" si="10"/>
        <v>0.6</v>
      </c>
      <c r="Q92" s="78" t="str">
        <f t="shared" si="17"/>
        <v>Moderado</v>
      </c>
      <c r="R92" s="39">
        <v>2</v>
      </c>
      <c r="S92" s="40" t="s">
        <v>399</v>
      </c>
      <c r="T92" s="215"/>
      <c r="U92" s="68" t="str">
        <f t="shared" si="1"/>
        <v/>
      </c>
      <c r="V92" s="64"/>
      <c r="W92" s="64"/>
      <c r="X92" s="69" t="str">
        <f t="shared" si="12"/>
        <v/>
      </c>
      <c r="Y92" s="64"/>
      <c r="Z92" s="64"/>
      <c r="AA92" s="64"/>
      <c r="AB92" s="65" t="str">
        <f t="shared" si="13"/>
        <v/>
      </c>
      <c r="AC92" s="70" t="str">
        <f t="shared" si="4"/>
        <v/>
      </c>
      <c r="AD92" s="75" t="str">
        <f t="shared" si="14"/>
        <v/>
      </c>
      <c r="AE92" s="70" t="str">
        <f t="shared" si="6"/>
        <v/>
      </c>
      <c r="AF92" s="69" t="str">
        <f t="shared" si="15"/>
        <v/>
      </c>
      <c r="AG92" s="71" t="str">
        <f t="shared" si="16"/>
        <v/>
      </c>
      <c r="AH92" s="64"/>
      <c r="AI92" s="161"/>
      <c r="AJ92" s="64"/>
    </row>
    <row r="93" spans="1:36" ht="157.5" customHeight="1">
      <c r="A93" s="216">
        <v>49</v>
      </c>
      <c r="B93" s="217"/>
      <c r="C93" s="220"/>
      <c r="D93" s="225"/>
      <c r="E93" s="225" t="s">
        <v>93</v>
      </c>
      <c r="F93" s="225" t="s">
        <v>381</v>
      </c>
      <c r="G93" s="219" t="s">
        <v>400</v>
      </c>
      <c r="H93" s="213" t="s">
        <v>401</v>
      </c>
      <c r="I93" s="2" t="s">
        <v>402</v>
      </c>
      <c r="J93" s="4">
        <v>243</v>
      </c>
      <c r="K93" s="52" t="str">
        <f t="shared" si="9"/>
        <v>Media</v>
      </c>
      <c r="L93" s="54">
        <f t="shared" si="0"/>
        <v>0.6</v>
      </c>
      <c r="M93" s="55" t="s">
        <v>110</v>
      </c>
      <c r="N93" s="53" t="str">
        <f>IF(NOT(ISERROR(MATCH(M93,'Validacion de datos'!$H$14:$H$16,0))),'Validacion de datos'!$J$16&amp;"Por favor no seleccionar los criterios de impacto(Afectación Económica o presupuestal y Pérdida Reputacional)",M93)</f>
        <v>El riesgo afecta la imagen de la entidad con algunos usuarios de relevancia frente al logro de los objetivos</v>
      </c>
      <c r="O93" s="52" t="str">
        <f>IF(OR(N93=IMPACTO!$C$3,N93=IMPACTO!$D$3),"Leve",IF(OR(N93=IMPACTO!$C$4,N93=IMPACTO!$D$4),"Menor",IF(OR(N93=IMPACTO!$C$5,N93=IMPACTO!$D$5),"Moderado",IF(OR(N93=IMPACTO!$C$6,N93=IMPACTO!$D$6),"Mayor",IF(OR(N93=IMPACTO!$C$7,N93=IMPACTO!$D$7),"Catastrófico","")))))</f>
        <v>Moderado</v>
      </c>
      <c r="P93" s="54">
        <f t="shared" si="10"/>
        <v>0.6</v>
      </c>
      <c r="Q93" s="78" t="str">
        <f t="shared" si="17"/>
        <v>Moderado</v>
      </c>
      <c r="R93" s="39">
        <v>1</v>
      </c>
      <c r="S93" s="83" t="s">
        <v>403</v>
      </c>
      <c r="T93" s="213" t="s">
        <v>404</v>
      </c>
      <c r="U93" s="68" t="str">
        <f t="shared" si="1"/>
        <v/>
      </c>
      <c r="V93" s="64"/>
      <c r="W93" s="64"/>
      <c r="X93" s="69" t="str">
        <f t="shared" si="12"/>
        <v/>
      </c>
      <c r="Y93" s="64"/>
      <c r="Z93" s="64"/>
      <c r="AA93" s="64"/>
      <c r="AB93" s="65" t="str">
        <f t="shared" si="13"/>
        <v/>
      </c>
      <c r="AC93" s="70" t="str">
        <f t="shared" si="4"/>
        <v/>
      </c>
      <c r="AD93" s="75" t="str">
        <f t="shared" si="14"/>
        <v/>
      </c>
      <c r="AE93" s="70" t="str">
        <f t="shared" si="6"/>
        <v/>
      </c>
      <c r="AF93" s="69" t="str">
        <f t="shared" si="15"/>
        <v/>
      </c>
      <c r="AG93" s="71" t="str">
        <f t="shared" si="16"/>
        <v/>
      </c>
      <c r="AH93" s="64"/>
      <c r="AI93" s="161"/>
      <c r="AJ93" s="64"/>
    </row>
    <row r="94" spans="1:36" ht="157.5" customHeight="1">
      <c r="A94" s="217"/>
      <c r="B94" s="217"/>
      <c r="C94" s="220"/>
      <c r="D94" s="226"/>
      <c r="E94" s="226"/>
      <c r="F94" s="226"/>
      <c r="G94" s="220"/>
      <c r="H94" s="214"/>
      <c r="I94" s="2" t="s">
        <v>405</v>
      </c>
      <c r="J94" s="4">
        <v>243</v>
      </c>
      <c r="K94" s="52" t="str">
        <f t="shared" si="9"/>
        <v>Media</v>
      </c>
      <c r="L94" s="54">
        <f t="shared" si="0"/>
        <v>0.6</v>
      </c>
      <c r="M94" s="55" t="s">
        <v>117</v>
      </c>
      <c r="N94" s="53" t="str">
        <f>IF(NOT(ISERROR(MATCH(M94,'Validacion de datos'!$H$14:$H$16,0))),'Validacion de datos'!$J$16&amp;"Por favor no seleccionar los criterios de impacto(Afectación Económica o presupuestal y Pérdida Reputacional)",M94)</f>
        <v>El riesgo afecta la imagen de de la entidad con efecto publicitario sostenido a nivel de sector administrativo, nivel departamental o municipal</v>
      </c>
      <c r="O94" s="52" t="str">
        <f>IF(OR(N94=IMPACTO!$C$3,N94=IMPACTO!$D$3),"Leve",IF(OR(N94=IMPACTO!$C$4,N94=IMPACTO!$D$4),"Menor",IF(OR(N94=IMPACTO!$C$5,N94=IMPACTO!$D$5),"Moderado",IF(OR(N94=IMPACTO!$C$6,N94=IMPACTO!$D$6),"Mayor",IF(OR(N94=IMPACTO!$C$7,N94=IMPACTO!$D$7),"Catastrófico","")))))</f>
        <v>Mayor</v>
      </c>
      <c r="P94" s="54">
        <f t="shared" si="10"/>
        <v>0.8</v>
      </c>
      <c r="Q94" s="78" t="str">
        <f t="shared" si="17"/>
        <v>Alto</v>
      </c>
      <c r="R94" s="39">
        <v>2</v>
      </c>
      <c r="S94" s="83" t="s">
        <v>406</v>
      </c>
      <c r="T94" s="214"/>
      <c r="U94" s="68" t="str">
        <f t="shared" si="1"/>
        <v/>
      </c>
      <c r="V94" s="64"/>
      <c r="W94" s="64"/>
      <c r="X94" s="69" t="str">
        <f t="shared" si="12"/>
        <v/>
      </c>
      <c r="Y94" s="64"/>
      <c r="Z94" s="64"/>
      <c r="AA94" s="64"/>
      <c r="AB94" s="65" t="str">
        <f t="shared" si="13"/>
        <v/>
      </c>
      <c r="AC94" s="70" t="str">
        <f t="shared" si="4"/>
        <v/>
      </c>
      <c r="AD94" s="75" t="str">
        <f t="shared" si="14"/>
        <v/>
      </c>
      <c r="AE94" s="70" t="str">
        <f t="shared" si="6"/>
        <v/>
      </c>
      <c r="AF94" s="69" t="str">
        <f t="shared" si="15"/>
        <v/>
      </c>
      <c r="AG94" s="71" t="str">
        <f t="shared" si="16"/>
        <v/>
      </c>
      <c r="AH94" s="64"/>
      <c r="AI94" s="161"/>
      <c r="AJ94" s="64"/>
    </row>
    <row r="95" spans="1:36" ht="157.5" customHeight="1">
      <c r="A95" s="218"/>
      <c r="B95" s="217"/>
      <c r="C95" s="220"/>
      <c r="D95" s="227"/>
      <c r="E95" s="227"/>
      <c r="F95" s="227"/>
      <c r="G95" s="221"/>
      <c r="H95" s="215"/>
      <c r="I95" s="2" t="s">
        <v>407</v>
      </c>
      <c r="J95" s="4">
        <v>243</v>
      </c>
      <c r="K95" s="52" t="str">
        <f t="shared" si="9"/>
        <v>Media</v>
      </c>
      <c r="L95" s="54">
        <f t="shared" si="0"/>
        <v>0.6</v>
      </c>
      <c r="M95" s="55" t="s">
        <v>110</v>
      </c>
      <c r="N95" s="53" t="str">
        <f>IF(NOT(ISERROR(MATCH(M95,'Validacion de datos'!$H$14:$H$16,0))),'Validacion de datos'!$J$16&amp;"Por favor no seleccionar los criterios de impacto(Afectación Económica o presupuestal y Pérdida Reputacional)",M95)</f>
        <v>El riesgo afecta la imagen de la entidad con algunos usuarios de relevancia frente al logro de los objetivos</v>
      </c>
      <c r="O95" s="52" t="str">
        <f>IF(OR(N95=IMPACTO!$C$3,N95=IMPACTO!$D$3),"Leve",IF(OR(N95=IMPACTO!$C$4,N95=IMPACTO!$D$4),"Menor",IF(OR(N95=IMPACTO!$C$5,N95=IMPACTO!$D$5),"Moderado",IF(OR(N95=IMPACTO!$C$6,N95=IMPACTO!$D$6),"Mayor",IF(OR(N95=IMPACTO!$C$7,N95=IMPACTO!$D$7),"Catastrófico","")))))</f>
        <v>Moderado</v>
      </c>
      <c r="P95" s="54">
        <f t="shared" si="10"/>
        <v>0.6</v>
      </c>
      <c r="Q95" s="78" t="str">
        <f t="shared" si="17"/>
        <v>Moderado</v>
      </c>
      <c r="R95" s="39">
        <v>3</v>
      </c>
      <c r="S95" s="83" t="s">
        <v>408</v>
      </c>
      <c r="T95" s="215"/>
      <c r="U95" s="68" t="str">
        <f t="shared" si="1"/>
        <v/>
      </c>
      <c r="V95" s="64"/>
      <c r="W95" s="64"/>
      <c r="X95" s="69" t="str">
        <f t="shared" si="12"/>
        <v/>
      </c>
      <c r="Y95" s="64"/>
      <c r="Z95" s="64"/>
      <c r="AA95" s="64"/>
      <c r="AB95" s="65" t="str">
        <f t="shared" si="13"/>
        <v/>
      </c>
      <c r="AC95" s="70" t="str">
        <f t="shared" si="4"/>
        <v/>
      </c>
      <c r="AD95" s="75" t="str">
        <f t="shared" si="14"/>
        <v/>
      </c>
      <c r="AE95" s="70" t="str">
        <f t="shared" si="6"/>
        <v/>
      </c>
      <c r="AF95" s="69" t="str">
        <f t="shared" si="15"/>
        <v/>
      </c>
      <c r="AG95" s="71" t="str">
        <f t="shared" si="16"/>
        <v/>
      </c>
      <c r="AH95" s="64"/>
      <c r="AI95" s="161"/>
      <c r="AJ95" s="64"/>
    </row>
    <row r="96" spans="1:36" ht="157.5" customHeight="1">
      <c r="A96" s="216">
        <v>50</v>
      </c>
      <c r="B96" s="217"/>
      <c r="C96" s="220"/>
      <c r="D96" s="225"/>
      <c r="E96" s="222" t="s">
        <v>93</v>
      </c>
      <c r="F96" s="222" t="s">
        <v>381</v>
      </c>
      <c r="G96" s="219" t="s">
        <v>409</v>
      </c>
      <c r="H96" s="213" t="s">
        <v>410</v>
      </c>
      <c r="I96" s="2" t="s">
        <v>411</v>
      </c>
      <c r="J96" s="4">
        <v>242</v>
      </c>
      <c r="K96" s="52" t="str">
        <f t="shared" si="9"/>
        <v>Media</v>
      </c>
      <c r="L96" s="54">
        <f t="shared" si="0"/>
        <v>0.6</v>
      </c>
      <c r="M96" s="55" t="s">
        <v>117</v>
      </c>
      <c r="N96" s="53" t="str">
        <f>IF(NOT(ISERROR(MATCH(M96,'Validacion de datos'!$H$14:$H$16,0))),'Validacion de datos'!$J$16&amp;"Por favor no seleccionar los criterios de impacto(Afectación Económica o presupuestal y Pérdida Reputacional)",M96)</f>
        <v>El riesgo afecta la imagen de de la entidad con efecto publicitario sostenido a nivel de sector administrativo, nivel departamental o municipal</v>
      </c>
      <c r="O96" s="52" t="str">
        <f>IF(OR(N96=IMPACTO!$C$3,N96=IMPACTO!$D$3),"Leve",IF(OR(N96=IMPACTO!$C$4,N96=IMPACTO!$D$4),"Menor",IF(OR(N96=IMPACTO!$C$5,N96=IMPACTO!$D$5),"Moderado",IF(OR(N96=IMPACTO!$C$6,N96=IMPACTO!$D$6),"Mayor",IF(OR(N96=IMPACTO!$C$7,N96=IMPACTO!$D$7),"Catastrófico","")))))</f>
        <v>Mayor</v>
      </c>
      <c r="P96" s="54">
        <f t="shared" si="10"/>
        <v>0.8</v>
      </c>
      <c r="Q96" s="78" t="str">
        <f t="shared" si="17"/>
        <v>Alto</v>
      </c>
      <c r="R96" s="39">
        <v>1</v>
      </c>
      <c r="S96" s="83" t="s">
        <v>412</v>
      </c>
      <c r="T96" s="213" t="s">
        <v>397</v>
      </c>
      <c r="U96" s="68" t="str">
        <f t="shared" si="1"/>
        <v/>
      </c>
      <c r="V96" s="64"/>
      <c r="W96" s="64"/>
      <c r="X96" s="69" t="str">
        <f t="shared" si="12"/>
        <v/>
      </c>
      <c r="Y96" s="64"/>
      <c r="Z96" s="64"/>
      <c r="AA96" s="64"/>
      <c r="AB96" s="65" t="str">
        <f t="shared" si="13"/>
        <v/>
      </c>
      <c r="AC96" s="70" t="str">
        <f t="shared" si="4"/>
        <v/>
      </c>
      <c r="AD96" s="75" t="str">
        <f t="shared" si="14"/>
        <v/>
      </c>
      <c r="AE96" s="70" t="str">
        <f t="shared" si="6"/>
        <v/>
      </c>
      <c r="AF96" s="69" t="str">
        <f t="shared" si="15"/>
        <v/>
      </c>
      <c r="AG96" s="71" t="str">
        <f t="shared" si="16"/>
        <v/>
      </c>
      <c r="AH96" s="64"/>
      <c r="AI96" s="161"/>
      <c r="AJ96" s="64"/>
    </row>
    <row r="97" spans="1:36" ht="157.5" customHeight="1">
      <c r="A97" s="218"/>
      <c r="B97" s="218"/>
      <c r="C97" s="221"/>
      <c r="D97" s="227"/>
      <c r="E97" s="224"/>
      <c r="F97" s="224"/>
      <c r="G97" s="221"/>
      <c r="H97" s="215"/>
      <c r="I97" s="40" t="s">
        <v>413</v>
      </c>
      <c r="J97" s="4">
        <v>243</v>
      </c>
      <c r="K97" s="52" t="str">
        <f t="shared" si="9"/>
        <v>Media</v>
      </c>
      <c r="L97" s="54">
        <f t="shared" si="0"/>
        <v>0.6</v>
      </c>
      <c r="M97" s="55" t="s">
        <v>117</v>
      </c>
      <c r="N97" s="53" t="str">
        <f>IF(NOT(ISERROR(MATCH(M97,'Validacion de datos'!$H$14:$H$16,0))),'Validacion de datos'!$J$16&amp;"Por favor no seleccionar los criterios de impacto(Afectación Económica o presupuestal y Pérdida Reputacional)",M97)</f>
        <v>El riesgo afecta la imagen de de la entidad con efecto publicitario sostenido a nivel de sector administrativo, nivel departamental o municipal</v>
      </c>
      <c r="O97" s="52" t="str">
        <f>IF(OR(N97=IMPACTO!$C$3,N97=IMPACTO!$D$3),"Leve",IF(OR(N97=IMPACTO!$C$4,N97=IMPACTO!$D$4),"Menor",IF(OR(N97=IMPACTO!$C$5,N97=IMPACTO!$D$5),"Moderado",IF(OR(N97=IMPACTO!$C$6,N97=IMPACTO!$D$6),"Mayor",IF(OR(N97=IMPACTO!$C$7,N97=IMPACTO!$D$7),"Catastrófico","")))))</f>
        <v>Mayor</v>
      </c>
      <c r="P97" s="54">
        <f t="shared" si="10"/>
        <v>0.8</v>
      </c>
      <c r="Q97" s="78" t="str">
        <f t="shared" si="17"/>
        <v>Alto</v>
      </c>
      <c r="R97" s="39">
        <v>2</v>
      </c>
      <c r="S97" s="83" t="s">
        <v>414</v>
      </c>
      <c r="T97" s="215"/>
      <c r="U97" s="68" t="str">
        <f t="shared" si="1"/>
        <v/>
      </c>
      <c r="V97" s="64"/>
      <c r="W97" s="64"/>
      <c r="X97" s="69" t="str">
        <f t="shared" si="12"/>
        <v/>
      </c>
      <c r="Y97" s="64"/>
      <c r="Z97" s="64"/>
      <c r="AA97" s="64"/>
      <c r="AB97" s="65" t="str">
        <f t="shared" si="13"/>
        <v/>
      </c>
      <c r="AC97" s="70" t="str">
        <f t="shared" si="4"/>
        <v/>
      </c>
      <c r="AD97" s="69" t="str">
        <f t="shared" si="14"/>
        <v/>
      </c>
      <c r="AE97" s="70" t="str">
        <f t="shared" si="6"/>
        <v/>
      </c>
      <c r="AF97" s="69" t="str">
        <f t="shared" si="15"/>
        <v/>
      </c>
      <c r="AG97" s="71" t="str">
        <f t="shared" si="16"/>
        <v/>
      </c>
      <c r="AH97" s="64"/>
      <c r="AI97" s="161"/>
      <c r="AJ97" s="64"/>
    </row>
    <row r="98" spans="1:36" ht="137.44999999999999" customHeight="1">
      <c r="A98" s="216">
        <v>51</v>
      </c>
      <c r="B98" s="216" t="s">
        <v>415</v>
      </c>
      <c r="C98" s="219" t="str">
        <f>+IFERROR(VLOOKUP(B98,'Validacion de datos'!A:B,2,0),"")</f>
        <v>Evaluar de forma independiente y objetiva la gestión de los procesos institucionales, a través de seguimientos y auditorías que permitan generar alertas tempranas que contribuyan al mejoramiento continuo en la gestión de la Entidad de acuerdo con el plan anual de auditorías.</v>
      </c>
      <c r="D98" s="225" t="s">
        <v>416</v>
      </c>
      <c r="E98" s="222"/>
      <c r="F98" s="222" t="s">
        <v>129</v>
      </c>
      <c r="G98" s="219" t="s">
        <v>417</v>
      </c>
      <c r="H98" s="213" t="s">
        <v>418</v>
      </c>
      <c r="I98" s="40" t="s">
        <v>419</v>
      </c>
      <c r="J98" s="4">
        <v>1</v>
      </c>
      <c r="K98" s="52" t="str">
        <f t="shared" si="9"/>
        <v>Muy Baja</v>
      </c>
      <c r="L98" s="54">
        <f t="shared" si="0"/>
        <v>0.2</v>
      </c>
      <c r="M98" s="55" t="s">
        <v>110</v>
      </c>
      <c r="N98" s="53" t="str">
        <f>IF(NOT(ISERROR(MATCH(M98,'Validacion de datos'!$H$14:$H$16,0))),'Validacion de datos'!$J$16&amp;"Por favor no seleccionar los criterios de impacto(Afectación Económica o presupuestal y Pérdida Reputacional)",M98)</f>
        <v>El riesgo afecta la imagen de la entidad con algunos usuarios de relevancia frente al logro de los objetivos</v>
      </c>
      <c r="O98" s="52" t="str">
        <f>IF(OR(N98=IMPACTO!$C$3,N98=IMPACTO!$D$3),"Leve",IF(OR(N98=IMPACTO!$C$4,N98=IMPACTO!$D$4),"Menor",IF(OR(N98=IMPACTO!$C$5,N98=IMPACTO!$D$5),"Moderado",IF(OR(N98=IMPACTO!$C$6,N98=IMPACTO!$D$6),"Mayor",IF(OR(N98=IMPACTO!$C$7,N98=IMPACTO!$D$7),"Catastrófico","")))))</f>
        <v>Moderado</v>
      </c>
      <c r="P98" s="54">
        <f t="shared" si="10"/>
        <v>0.6</v>
      </c>
      <c r="Q98" s="78" t="str">
        <f t="shared" si="17"/>
        <v>Moderado</v>
      </c>
      <c r="R98" s="39">
        <v>1</v>
      </c>
      <c r="S98" s="83" t="s">
        <v>420</v>
      </c>
      <c r="T98" s="213" t="s">
        <v>421</v>
      </c>
      <c r="U98" s="68" t="str">
        <f t="shared" si="1"/>
        <v/>
      </c>
      <c r="V98" s="64"/>
      <c r="W98" s="64"/>
      <c r="X98" s="69" t="str">
        <f t="shared" si="12"/>
        <v/>
      </c>
      <c r="Y98" s="64"/>
      <c r="Z98" s="64"/>
      <c r="AA98" s="64"/>
      <c r="AB98" s="65" t="str">
        <f t="shared" si="13"/>
        <v/>
      </c>
      <c r="AC98" s="70" t="str">
        <f t="shared" si="4"/>
        <v/>
      </c>
      <c r="AD98" s="75" t="str">
        <f t="shared" si="14"/>
        <v/>
      </c>
      <c r="AE98" s="70" t="str">
        <f t="shared" si="6"/>
        <v/>
      </c>
      <c r="AF98" s="69" t="str">
        <f t="shared" si="15"/>
        <v/>
      </c>
      <c r="AG98" s="71" t="str">
        <f t="shared" si="16"/>
        <v/>
      </c>
      <c r="AH98" s="64"/>
      <c r="AI98" s="161"/>
      <c r="AJ98" s="64"/>
    </row>
    <row r="99" spans="1:36" ht="137.44999999999999" customHeight="1">
      <c r="A99" s="217"/>
      <c r="B99" s="217"/>
      <c r="C99" s="220"/>
      <c r="D99" s="226"/>
      <c r="E99" s="223"/>
      <c r="F99" s="223"/>
      <c r="G99" s="220"/>
      <c r="H99" s="214"/>
      <c r="I99" s="40" t="s">
        <v>422</v>
      </c>
      <c r="J99" s="4">
        <v>1</v>
      </c>
      <c r="K99" s="52" t="str">
        <f t="shared" ref="K99:K105" si="148">IF(J99&lt;=0,"",IF(J99&lt;=2,"Muy Baja",IF(J99&lt;=24,"Baja",IF(J99&lt;=500,"Media",IF(J99&lt;=5000,"Alta","Muy Alta")))))</f>
        <v>Muy Baja</v>
      </c>
      <c r="L99" s="54">
        <f t="shared" ref="L99:L105" si="149">IF(K99="","",IF(K99="Muy Baja",0.2,IF(K99="Baja",0.4,IF(K99="Media",0.6,IF(K99="Alta",0.8,IF(K99="Muy Alta",1,))))))</f>
        <v>0.2</v>
      </c>
      <c r="M99" s="55" t="s">
        <v>110</v>
      </c>
      <c r="N99" s="53" t="str">
        <f>IF(NOT(ISERROR(MATCH(M99,'Validacion de datos'!$H$14:$H$16,0))),'Validacion de datos'!$J$16&amp;"Por favor no seleccionar los criterios de impacto(Afectación Económica o presupuestal y Pérdida Reputacional)",M99)</f>
        <v>El riesgo afecta la imagen de la entidad con algunos usuarios de relevancia frente al logro de los objetivos</v>
      </c>
      <c r="O99" s="52" t="str">
        <f>IF(OR(N99=IMPACTO!$C$3,N99=IMPACTO!$D$3),"Leve",IF(OR(N99=IMPACTO!$C$4,N99=IMPACTO!$D$4),"Menor",IF(OR(N99=IMPACTO!$C$5,N99=IMPACTO!$D$5),"Moderado",IF(OR(N99=IMPACTO!$C$6,N99=IMPACTO!$D$6),"Mayor",IF(OR(N99=IMPACTO!$C$7,N99=IMPACTO!$D$7),"Catastrófico","")))))</f>
        <v>Moderado</v>
      </c>
      <c r="P99" s="54">
        <f t="shared" ref="P99:P105" si="150">IF(O99="","",IF(O99="Leve",0.2,IF(O99="Menor",0.4,IF(O99="Moderado",0.6,IF(O99="Mayor",0.8,IF(O99="Catastrófico",1,))))))</f>
        <v>0.6</v>
      </c>
      <c r="Q99" s="78" t="str">
        <f t="shared" ref="Q99:Q105" si="151">IF(OR(AND(K99="Muy Baja",O99="Leve"),AND(K99="Muy Baja",O99="Menor"),AND(K99="Baja",O99="Leve")),"Bajo",IF(OR(AND(K99="Muy baja",O99="Moderado"),AND(K99="Baja",O99="Menor"),AND(K99="Baja",O99="Moderado"),AND(K99="Media",O99="Leve"),AND(K99="Media",O99="Menor"),AND(K99="Media",O99="Moderado"),AND(K99="Alta",O99="Leve"),AND(K99="Alta",O99="Menor")),"Moderado",IF(OR(AND(K99="Muy Baja",O99="Mayor"),AND(K99="Baja",O99="Mayor"),AND(K99="Media",O99="Mayor"),AND(K99="Alta",O99="Moderado"),AND(K99="Alta",O99="Mayor"),AND(K99="Muy Alta",O99="Leve"),AND(K99="Muy Alta",O99="Menor"),AND(K99="Muy Alta",O99="Moderado"),AND(K99="Muy Alta",O99="Mayor")),"Alto",IF(OR(AND(K99="Muy Baja",O99="Catastrófico"),AND(K99="Baja",O99="Catastrófico"),AND(K99="Media",O99="Catastrófico"),AND(K99="Alta",O99="Catastrófico"),AND(K99="Muy Alta",O99="Catastrófico")),"Extremo",""))))</f>
        <v>Moderado</v>
      </c>
      <c r="R99" s="39">
        <v>2</v>
      </c>
      <c r="S99" s="83" t="s">
        <v>423</v>
      </c>
      <c r="T99" s="214"/>
      <c r="U99" s="68" t="str">
        <f t="shared" ref="U99:U105" si="152">IF(OR(V99="Preventivo",V99="Detectivo"),"Probabilidad",IF(V99="Correctivo","Impacto",""))</f>
        <v/>
      </c>
      <c r="V99" s="64"/>
      <c r="W99" s="64"/>
      <c r="X99" s="69" t="str">
        <f t="shared" ref="X99:X105" si="153">IF(AND(V99="Preventivo",W99="Automática"),"50%",IF(AND(V99="Preventivo",W99="Manual"),"40%",IF(AND(V99="Detectivo",W99="Automática"),"40%",IF(AND(V99="Detectivo",W99="Manual"),"30%",IF(AND(V99="Correctivo",W99="Automática"),"35%",IF(AND(V99="Correctivo",W99="Manual"),"25%",""))))))</f>
        <v/>
      </c>
      <c r="Y99" s="64"/>
      <c r="Z99" s="64"/>
      <c r="AA99" s="64"/>
      <c r="AB99" s="65" t="str">
        <f t="shared" ref="AB99:AB105" si="154">IFERROR(IF(U99="Probabilidad",(L99-(+L99*X99)),IF(U99="Impacto",L99,"")),"")</f>
        <v/>
      </c>
      <c r="AC99" s="70" t="str">
        <f t="shared" ref="AC99:AC105" si="155">IFERROR(IF(AB99="","",IF(AB99&lt;=0.2,"Muy Baja",IF(AB99&lt;=0.4,"Baja",IF(AB99&lt;=0.6,"Media",IF(AB99&lt;=0.8,"Alta","Muy Alta"))))),"")</f>
        <v/>
      </c>
      <c r="AD99" s="75" t="str">
        <f t="shared" ref="AD99:AD105" si="156">+AB99</f>
        <v/>
      </c>
      <c r="AE99" s="70" t="str">
        <f t="shared" ref="AE99:AE105" si="157">IFERROR(IF(AF99="","",IF(AF99&lt;=0.2,"Leve",IF(AF99&lt;=0.4,"Menor",IF(AF99&lt;=0.6,"Moderado",IF(AF99&lt;=0.8,"Mayor","Catastrófico"))))),"")</f>
        <v/>
      </c>
      <c r="AF99" s="69" t="str">
        <f t="shared" ref="AF99:AF105" si="158">IFERROR(IF(U99="Impacto",(P99-(+P99*X99)),IF(U99="Probabilidad",P99,"")),"")</f>
        <v/>
      </c>
      <c r="AG99" s="71" t="str">
        <f t="shared" ref="AG99:AG105" si="159">IFERROR(IF(OR(AND(AC99="Muy Baja",AE99="Leve"),AND(AC99="Muy Baja",AE99="Menor"),AND(AC99="Baja",AE99="Leve")),"Bajo",IF(OR(AND(AC99="Muy baja",AE99="Moderado"),AND(AC99="Baja",AE99="Menor"),AND(AC99="Baja",AE99="Moderado"),AND(AC99="Media",AE99="Leve"),AND(AC99="Media",AE99="Menor"),AND(AC99="Media",AE99="Moderado"),AND(AC99="Alta",AE99="Leve"),AND(AC99="Alta",AE99="Menor")),"Moderado",IF(OR(AND(AC99="Muy Baja",AE99="Mayor"),AND(AC99="Baja",AE99="Mayor"),AND(AC99="Media",AE99="Mayor"),AND(AC99="Alta",AE99="Moderado"),AND(AC99="Alta",AE99="Mayor"),AND(AC99="Muy Alta",AE99="Leve"),AND(AC99="Muy Alta",AE99="Menor"),AND(AC99="Muy Alta",AE99="Moderado"),AND(AC99="Muy Alta",AE99="Mayor")),"Alto",IF(OR(AND(AC99="Muy Baja",AE99="Catastrófico"),AND(AC99="Baja",AE99="Catastrófico"),AND(AC99="Media",AE99="Catastrófico"),AND(AC99="Alta",AE99="Catastrófico"),AND(AC99="Muy Alta",AE99="Catastrófico")),"Extremo","")))),"")</f>
        <v/>
      </c>
      <c r="AH99" s="64"/>
      <c r="AI99" s="161"/>
      <c r="AJ99" s="64"/>
    </row>
    <row r="100" spans="1:36" ht="137.44999999999999" customHeight="1">
      <c r="A100" s="217"/>
      <c r="B100" s="217"/>
      <c r="C100" s="220"/>
      <c r="D100" s="226"/>
      <c r="E100" s="223"/>
      <c r="F100" s="223"/>
      <c r="G100" s="220"/>
      <c r="H100" s="214"/>
      <c r="I100" s="40" t="s">
        <v>424</v>
      </c>
      <c r="J100" s="4">
        <v>1</v>
      </c>
      <c r="K100" s="52" t="str">
        <f t="shared" si="148"/>
        <v>Muy Baja</v>
      </c>
      <c r="L100" s="54">
        <f t="shared" si="149"/>
        <v>0.2</v>
      </c>
      <c r="M100" s="55" t="s">
        <v>117</v>
      </c>
      <c r="N100" s="53" t="str">
        <f>IF(NOT(ISERROR(MATCH(M100,'Validacion de datos'!$H$14:$H$16,0))),'Validacion de datos'!$J$16&amp;"Por favor no seleccionar los criterios de impacto(Afectación Económica o presupuestal y Pérdida Reputacional)",M100)</f>
        <v>El riesgo afecta la imagen de de la entidad con efecto publicitario sostenido a nivel de sector administrativo, nivel departamental o municipal</v>
      </c>
      <c r="O100" s="52" t="str">
        <f>IF(OR(N100=IMPACTO!$C$3,N100=IMPACTO!$D$3),"Leve",IF(OR(N100=IMPACTO!$C$4,N100=IMPACTO!$D$4),"Menor",IF(OR(N100=IMPACTO!$C$5,N100=IMPACTO!$D$5),"Moderado",IF(OR(N100=IMPACTO!$C$6,N100=IMPACTO!$D$6),"Mayor",IF(OR(N100=IMPACTO!$C$7,N100=IMPACTO!$D$7),"Catastrófico","")))))</f>
        <v>Mayor</v>
      </c>
      <c r="P100" s="54">
        <f t="shared" si="150"/>
        <v>0.8</v>
      </c>
      <c r="Q100" s="78" t="str">
        <f t="shared" si="151"/>
        <v>Alto</v>
      </c>
      <c r="R100" s="39">
        <v>3</v>
      </c>
      <c r="S100" s="83" t="s">
        <v>425</v>
      </c>
      <c r="T100" s="214"/>
      <c r="U100" s="68" t="str">
        <f t="shared" si="152"/>
        <v/>
      </c>
      <c r="V100" s="64"/>
      <c r="W100" s="64"/>
      <c r="X100" s="69" t="str">
        <f t="shared" si="153"/>
        <v/>
      </c>
      <c r="Y100" s="64"/>
      <c r="Z100" s="64"/>
      <c r="AA100" s="64"/>
      <c r="AB100" s="65" t="str">
        <f t="shared" si="154"/>
        <v/>
      </c>
      <c r="AC100" s="70" t="str">
        <f t="shared" si="155"/>
        <v/>
      </c>
      <c r="AD100" s="75" t="str">
        <f t="shared" si="156"/>
        <v/>
      </c>
      <c r="AE100" s="70" t="str">
        <f t="shared" si="157"/>
        <v/>
      </c>
      <c r="AF100" s="69" t="str">
        <f t="shared" si="158"/>
        <v/>
      </c>
      <c r="AG100" s="71" t="str">
        <f t="shared" si="159"/>
        <v/>
      </c>
      <c r="AH100" s="64"/>
      <c r="AI100" s="161"/>
      <c r="AJ100" s="64"/>
    </row>
    <row r="101" spans="1:36" ht="137.44999999999999" customHeight="1">
      <c r="A101" s="218"/>
      <c r="B101" s="217"/>
      <c r="C101" s="220"/>
      <c r="D101" s="227"/>
      <c r="E101" s="224"/>
      <c r="F101" s="224"/>
      <c r="G101" s="221"/>
      <c r="H101" s="215"/>
      <c r="I101" s="40" t="s">
        <v>426</v>
      </c>
      <c r="J101" s="4">
        <v>66</v>
      </c>
      <c r="K101" s="52" t="str">
        <f t="shared" si="148"/>
        <v>Media</v>
      </c>
      <c r="L101" s="54">
        <f t="shared" si="149"/>
        <v>0.6</v>
      </c>
      <c r="M101" s="55" t="s">
        <v>117</v>
      </c>
      <c r="N101" s="53" t="str">
        <f>IF(NOT(ISERROR(MATCH(M101,'Validacion de datos'!$H$14:$H$16,0))),'Validacion de datos'!$J$16&amp;"Por favor no seleccionar los criterios de impacto(Afectación Económica o presupuestal y Pérdida Reputacional)",M101)</f>
        <v>El riesgo afecta la imagen de de la entidad con efecto publicitario sostenido a nivel de sector administrativo, nivel departamental o municipal</v>
      </c>
      <c r="O101" s="52" t="str">
        <f>IF(OR(N101=IMPACTO!$C$3,N101=IMPACTO!$D$3),"Leve",IF(OR(N101=IMPACTO!$C$4,N101=IMPACTO!$D$4),"Menor",IF(OR(N101=IMPACTO!$C$5,N101=IMPACTO!$D$5),"Moderado",IF(OR(N101=IMPACTO!$C$6,N101=IMPACTO!$D$6),"Mayor",IF(OR(N101=IMPACTO!$C$7,N101=IMPACTO!$D$7),"Catastrófico","")))))</f>
        <v>Mayor</v>
      </c>
      <c r="P101" s="54">
        <f t="shared" si="150"/>
        <v>0.8</v>
      </c>
      <c r="Q101" s="78" t="str">
        <f t="shared" si="151"/>
        <v>Alto</v>
      </c>
      <c r="R101" s="39">
        <v>4</v>
      </c>
      <c r="S101" s="83" t="s">
        <v>427</v>
      </c>
      <c r="T101" s="215"/>
      <c r="U101" s="68" t="str">
        <f t="shared" si="152"/>
        <v/>
      </c>
      <c r="V101" s="64"/>
      <c r="W101" s="64"/>
      <c r="X101" s="69" t="str">
        <f t="shared" si="153"/>
        <v/>
      </c>
      <c r="Y101" s="64"/>
      <c r="Z101" s="64"/>
      <c r="AA101" s="64"/>
      <c r="AB101" s="65" t="str">
        <f t="shared" si="154"/>
        <v/>
      </c>
      <c r="AC101" s="70" t="str">
        <f t="shared" si="155"/>
        <v/>
      </c>
      <c r="AD101" s="75" t="str">
        <f t="shared" si="156"/>
        <v/>
      </c>
      <c r="AE101" s="70" t="str">
        <f t="shared" si="157"/>
        <v/>
      </c>
      <c r="AF101" s="69" t="str">
        <f t="shared" si="158"/>
        <v/>
      </c>
      <c r="AG101" s="71" t="str">
        <f t="shared" si="159"/>
        <v/>
      </c>
      <c r="AH101" s="64"/>
      <c r="AI101" s="161"/>
      <c r="AJ101" s="64"/>
    </row>
    <row r="102" spans="1:36" ht="161.44999999999999" customHeight="1">
      <c r="A102" s="216">
        <v>52</v>
      </c>
      <c r="B102" s="217"/>
      <c r="C102" s="220"/>
      <c r="D102" s="225"/>
      <c r="E102" s="222" t="s">
        <v>156</v>
      </c>
      <c r="F102" s="222" t="s">
        <v>129</v>
      </c>
      <c r="G102" s="219" t="s">
        <v>428</v>
      </c>
      <c r="H102" s="213" t="s">
        <v>429</v>
      </c>
      <c r="I102" s="40" t="s">
        <v>430</v>
      </c>
      <c r="J102" s="4">
        <v>66</v>
      </c>
      <c r="K102" s="52" t="str">
        <f t="shared" si="148"/>
        <v>Media</v>
      </c>
      <c r="L102" s="54">
        <f t="shared" si="149"/>
        <v>0.6</v>
      </c>
      <c r="M102" s="55" t="s">
        <v>110</v>
      </c>
      <c r="N102" s="53" t="str">
        <f>IF(NOT(ISERROR(MATCH(M102,'Validacion de datos'!$H$14:$H$16,0))),'Validacion de datos'!$J$16&amp;"Por favor no seleccionar los criterios de impacto(Afectación Económica o presupuestal y Pérdida Reputacional)",M102)</f>
        <v>El riesgo afecta la imagen de la entidad con algunos usuarios de relevancia frente al logro de los objetivos</v>
      </c>
      <c r="O102" s="52" t="str">
        <f>IF(OR(N102=IMPACTO!$C$3,N102=IMPACTO!$D$3),"Leve",IF(OR(N102=IMPACTO!$C$4,N102=IMPACTO!$D$4),"Menor",IF(OR(N102=IMPACTO!$C$5,N102=IMPACTO!$D$5),"Moderado",IF(OR(N102=IMPACTO!$C$6,N102=IMPACTO!$D$6),"Mayor",IF(OR(N102=IMPACTO!$C$7,N102=IMPACTO!$D$7),"Catastrófico","")))))</f>
        <v>Moderado</v>
      </c>
      <c r="P102" s="54">
        <f t="shared" si="150"/>
        <v>0.6</v>
      </c>
      <c r="Q102" s="78" t="str">
        <f t="shared" si="151"/>
        <v>Moderado</v>
      </c>
      <c r="R102" s="39">
        <v>1</v>
      </c>
      <c r="S102" s="83" t="s">
        <v>431</v>
      </c>
      <c r="T102" s="213" t="s">
        <v>421</v>
      </c>
      <c r="U102" s="68" t="str">
        <f t="shared" si="152"/>
        <v/>
      </c>
      <c r="V102" s="64"/>
      <c r="W102" s="64"/>
      <c r="X102" s="69" t="str">
        <f t="shared" si="153"/>
        <v/>
      </c>
      <c r="Y102" s="64"/>
      <c r="Z102" s="64"/>
      <c r="AA102" s="64"/>
      <c r="AB102" s="65" t="str">
        <f t="shared" si="154"/>
        <v/>
      </c>
      <c r="AC102" s="70" t="str">
        <f t="shared" si="155"/>
        <v/>
      </c>
      <c r="AD102" s="75" t="str">
        <f t="shared" si="156"/>
        <v/>
      </c>
      <c r="AE102" s="70" t="str">
        <f t="shared" si="157"/>
        <v/>
      </c>
      <c r="AF102" s="69" t="str">
        <f t="shared" si="158"/>
        <v/>
      </c>
      <c r="AG102" s="71" t="str">
        <f t="shared" si="159"/>
        <v/>
      </c>
      <c r="AH102" s="64"/>
      <c r="AI102" s="161"/>
      <c r="AJ102" s="64"/>
    </row>
    <row r="103" spans="1:36" ht="137.44999999999999" customHeight="1">
      <c r="A103" s="217"/>
      <c r="B103" s="217"/>
      <c r="C103" s="220"/>
      <c r="D103" s="226"/>
      <c r="E103" s="223"/>
      <c r="F103" s="223"/>
      <c r="G103" s="220"/>
      <c r="H103" s="214"/>
      <c r="I103" s="40" t="s">
        <v>432</v>
      </c>
      <c r="J103" s="4">
        <v>66</v>
      </c>
      <c r="K103" s="52" t="str">
        <f t="shared" si="148"/>
        <v>Media</v>
      </c>
      <c r="L103" s="54">
        <f t="shared" si="149"/>
        <v>0.6</v>
      </c>
      <c r="M103" s="55" t="s">
        <v>110</v>
      </c>
      <c r="N103" s="53" t="str">
        <f>IF(NOT(ISERROR(MATCH(M103,'Validacion de datos'!$H$14:$H$16,0))),'Validacion de datos'!$J$16&amp;"Por favor no seleccionar los criterios de impacto(Afectación Económica o presupuestal y Pérdida Reputacional)",M103)</f>
        <v>El riesgo afecta la imagen de la entidad con algunos usuarios de relevancia frente al logro de los objetivos</v>
      </c>
      <c r="O103" s="52" t="str">
        <f>IF(OR(N103=IMPACTO!$C$3,N103=IMPACTO!$D$3),"Leve",IF(OR(N103=IMPACTO!$C$4,N103=IMPACTO!$D$4),"Menor",IF(OR(N103=IMPACTO!$C$5,N103=IMPACTO!$D$5),"Moderado",IF(OR(N103=IMPACTO!$C$6,N103=IMPACTO!$D$6),"Mayor",IF(OR(N103=IMPACTO!$C$7,N103=IMPACTO!$D$7),"Catastrófico","")))))</f>
        <v>Moderado</v>
      </c>
      <c r="P103" s="54">
        <f t="shared" si="150"/>
        <v>0.6</v>
      </c>
      <c r="Q103" s="78" t="str">
        <f t="shared" si="151"/>
        <v>Moderado</v>
      </c>
      <c r="R103" s="39">
        <v>2</v>
      </c>
      <c r="S103" s="83" t="s">
        <v>433</v>
      </c>
      <c r="T103" s="214"/>
      <c r="U103" s="68" t="str">
        <f t="shared" si="152"/>
        <v/>
      </c>
      <c r="V103" s="64"/>
      <c r="W103" s="64"/>
      <c r="X103" s="69" t="str">
        <f t="shared" si="153"/>
        <v/>
      </c>
      <c r="Y103" s="64"/>
      <c r="Z103" s="64"/>
      <c r="AA103" s="64"/>
      <c r="AB103" s="65" t="str">
        <f t="shared" si="154"/>
        <v/>
      </c>
      <c r="AC103" s="70" t="str">
        <f t="shared" si="155"/>
        <v/>
      </c>
      <c r="AD103" s="75" t="str">
        <f t="shared" si="156"/>
        <v/>
      </c>
      <c r="AE103" s="70" t="str">
        <f t="shared" si="157"/>
        <v/>
      </c>
      <c r="AF103" s="69" t="str">
        <f t="shared" si="158"/>
        <v/>
      </c>
      <c r="AG103" s="71" t="str">
        <f t="shared" si="159"/>
        <v/>
      </c>
      <c r="AH103" s="64"/>
      <c r="AI103" s="161"/>
      <c r="AJ103" s="64"/>
    </row>
    <row r="104" spans="1:36" ht="137.44999999999999" customHeight="1">
      <c r="A104" s="217"/>
      <c r="B104" s="217"/>
      <c r="C104" s="220"/>
      <c r="D104" s="226"/>
      <c r="E104" s="223"/>
      <c r="F104" s="223"/>
      <c r="G104" s="220"/>
      <c r="H104" s="214"/>
      <c r="I104" s="40" t="s">
        <v>434</v>
      </c>
      <c r="J104" s="4">
        <v>66</v>
      </c>
      <c r="K104" s="52" t="str">
        <f t="shared" si="148"/>
        <v>Media</v>
      </c>
      <c r="L104" s="54">
        <f t="shared" si="149"/>
        <v>0.6</v>
      </c>
      <c r="M104" s="55" t="s">
        <v>110</v>
      </c>
      <c r="N104" s="53" t="str">
        <f>IF(NOT(ISERROR(MATCH(M104,'Validacion de datos'!$H$14:$H$16,0))),'Validacion de datos'!$J$16&amp;"Por favor no seleccionar los criterios de impacto(Afectación Económica o presupuestal y Pérdida Reputacional)",M104)</f>
        <v>El riesgo afecta la imagen de la entidad con algunos usuarios de relevancia frente al logro de los objetivos</v>
      </c>
      <c r="O104" s="52" t="str">
        <f>IF(OR(N104=IMPACTO!$C$3,N104=IMPACTO!$D$3),"Leve",IF(OR(N104=IMPACTO!$C$4,N104=IMPACTO!$D$4),"Menor",IF(OR(N104=IMPACTO!$C$5,N104=IMPACTO!$D$5),"Moderado",IF(OR(N104=IMPACTO!$C$6,N104=IMPACTO!$D$6),"Mayor",IF(OR(N104=IMPACTO!$C$7,N104=IMPACTO!$D$7),"Catastrófico","")))))</f>
        <v>Moderado</v>
      </c>
      <c r="P104" s="54">
        <f t="shared" si="150"/>
        <v>0.6</v>
      </c>
      <c r="Q104" s="78" t="str">
        <f t="shared" si="151"/>
        <v>Moderado</v>
      </c>
      <c r="R104" s="39">
        <v>3</v>
      </c>
      <c r="S104" s="83" t="s">
        <v>420</v>
      </c>
      <c r="T104" s="214"/>
      <c r="U104" s="68" t="str">
        <f t="shared" si="152"/>
        <v/>
      </c>
      <c r="V104" s="64"/>
      <c r="W104" s="64"/>
      <c r="X104" s="69" t="str">
        <f t="shared" si="153"/>
        <v/>
      </c>
      <c r="Y104" s="64"/>
      <c r="Z104" s="64"/>
      <c r="AA104" s="64"/>
      <c r="AB104" s="65" t="str">
        <f t="shared" si="154"/>
        <v/>
      </c>
      <c r="AC104" s="70" t="str">
        <f t="shared" si="155"/>
        <v/>
      </c>
      <c r="AD104" s="75" t="str">
        <f t="shared" si="156"/>
        <v/>
      </c>
      <c r="AE104" s="70" t="str">
        <f t="shared" si="157"/>
        <v/>
      </c>
      <c r="AF104" s="69" t="str">
        <f t="shared" si="158"/>
        <v/>
      </c>
      <c r="AG104" s="71" t="str">
        <f t="shared" si="159"/>
        <v/>
      </c>
      <c r="AH104" s="64"/>
      <c r="AI104" s="161"/>
      <c r="AJ104" s="64"/>
    </row>
    <row r="105" spans="1:36" ht="137.44999999999999" customHeight="1">
      <c r="A105" s="217"/>
      <c r="B105" s="217"/>
      <c r="C105" s="220"/>
      <c r="D105" s="226"/>
      <c r="E105" s="223"/>
      <c r="F105" s="223"/>
      <c r="G105" s="220"/>
      <c r="H105" s="214"/>
      <c r="I105" s="40" t="s">
        <v>435</v>
      </c>
      <c r="J105" s="4">
        <v>19</v>
      </c>
      <c r="K105" s="52" t="str">
        <f t="shared" si="148"/>
        <v>Baja</v>
      </c>
      <c r="L105" s="54">
        <f t="shared" si="149"/>
        <v>0.4</v>
      </c>
      <c r="M105" s="55" t="s">
        <v>110</v>
      </c>
      <c r="N105" s="53" t="str">
        <f>IF(NOT(ISERROR(MATCH(M105,'Validacion de datos'!$H$14:$H$16,0))),'Validacion de datos'!$J$16&amp;"Por favor no seleccionar los criterios de impacto(Afectación Económica o presupuestal y Pérdida Reputacional)",M105)</f>
        <v>El riesgo afecta la imagen de la entidad con algunos usuarios de relevancia frente al logro de los objetivos</v>
      </c>
      <c r="O105" s="52" t="str">
        <f>IF(OR(N105=IMPACTO!$C$3,N105=IMPACTO!$D$3),"Leve",IF(OR(N105=IMPACTO!$C$4,N105=IMPACTO!$D$4),"Menor",IF(OR(N105=IMPACTO!$C$5,N105=IMPACTO!$D$5),"Moderado",IF(OR(N105=IMPACTO!$C$6,N105=IMPACTO!$D$6),"Mayor",IF(OR(N105=IMPACTO!$C$7,N105=IMPACTO!$D$7),"Catastrófico","")))))</f>
        <v>Moderado</v>
      </c>
      <c r="P105" s="54">
        <f t="shared" si="150"/>
        <v>0.6</v>
      </c>
      <c r="Q105" s="78" t="str">
        <f t="shared" si="151"/>
        <v>Moderado</v>
      </c>
      <c r="R105" s="39">
        <v>4</v>
      </c>
      <c r="S105" s="83" t="s">
        <v>436</v>
      </c>
      <c r="T105" s="214"/>
      <c r="U105" s="68" t="str">
        <f t="shared" si="152"/>
        <v/>
      </c>
      <c r="V105" s="64"/>
      <c r="W105" s="64"/>
      <c r="X105" s="69" t="str">
        <f t="shared" si="153"/>
        <v/>
      </c>
      <c r="Y105" s="64"/>
      <c r="Z105" s="64"/>
      <c r="AA105" s="64"/>
      <c r="AB105" s="65" t="str">
        <f t="shared" si="154"/>
        <v/>
      </c>
      <c r="AC105" s="70" t="str">
        <f t="shared" si="155"/>
        <v/>
      </c>
      <c r="AD105" s="75" t="str">
        <f t="shared" si="156"/>
        <v/>
      </c>
      <c r="AE105" s="70" t="str">
        <f t="shared" si="157"/>
        <v/>
      </c>
      <c r="AF105" s="69" t="str">
        <f t="shared" si="158"/>
        <v/>
      </c>
      <c r="AG105" s="71" t="str">
        <f t="shared" si="159"/>
        <v/>
      </c>
      <c r="AH105" s="64"/>
      <c r="AI105" s="161"/>
      <c r="AJ105" s="64"/>
    </row>
    <row r="106" spans="1:36" ht="137.44999999999999" customHeight="1">
      <c r="A106" s="218"/>
      <c r="B106" s="218"/>
      <c r="C106" s="221"/>
      <c r="D106" s="227"/>
      <c r="E106" s="224"/>
      <c r="F106" s="224"/>
      <c r="G106" s="221"/>
      <c r="H106" s="215"/>
      <c r="I106" s="40" t="s">
        <v>437</v>
      </c>
      <c r="J106" s="4">
        <v>19</v>
      </c>
      <c r="K106" s="52" t="str">
        <f t="shared" si="9"/>
        <v>Baja</v>
      </c>
      <c r="L106" s="54">
        <f t="shared" si="0"/>
        <v>0.4</v>
      </c>
      <c r="M106" s="55" t="s">
        <v>110</v>
      </c>
      <c r="N106" s="53" t="str">
        <f>IF(NOT(ISERROR(MATCH(M106,'Validacion de datos'!$H$14:$H$16,0))),'Validacion de datos'!$J$16&amp;"Por favor no seleccionar los criterios de impacto(Afectación Económica o presupuestal y Pérdida Reputacional)",M106)</f>
        <v>El riesgo afecta la imagen de la entidad con algunos usuarios de relevancia frente al logro de los objetivos</v>
      </c>
      <c r="O106" s="52" t="str">
        <f>IF(OR(N106=IMPACTO!$C$3,N106=IMPACTO!$D$3),"Leve",IF(OR(N106=IMPACTO!$C$4,N106=IMPACTO!$D$4),"Menor",IF(OR(N106=IMPACTO!$C$5,N106=IMPACTO!$D$5),"Moderado",IF(OR(N106=IMPACTO!$C$6,N106=IMPACTO!$D$6),"Mayor",IF(OR(N106=IMPACTO!$C$7,N106=IMPACTO!$D$7),"Catastrófico","")))))</f>
        <v>Moderado</v>
      </c>
      <c r="P106" s="54">
        <f t="shared" si="10"/>
        <v>0.6</v>
      </c>
      <c r="Q106" s="78" t="str">
        <f t="shared" si="17"/>
        <v>Moderado</v>
      </c>
      <c r="R106" s="39">
        <v>5</v>
      </c>
      <c r="S106" s="40" t="s">
        <v>438</v>
      </c>
      <c r="T106" s="215"/>
      <c r="U106" s="68" t="str">
        <f t="shared" si="1"/>
        <v/>
      </c>
      <c r="V106" s="64"/>
      <c r="W106" s="64"/>
      <c r="X106" s="69" t="str">
        <f t="shared" si="12"/>
        <v/>
      </c>
      <c r="Y106" s="64"/>
      <c r="Z106" s="64"/>
      <c r="AA106" s="64"/>
      <c r="AB106" s="65" t="str">
        <f t="shared" si="13"/>
        <v/>
      </c>
      <c r="AC106" s="70" t="str">
        <f t="shared" si="4"/>
        <v/>
      </c>
      <c r="AD106" s="75" t="str">
        <f t="shared" si="14"/>
        <v/>
      </c>
      <c r="AE106" s="70" t="str">
        <f t="shared" si="6"/>
        <v/>
      </c>
      <c r="AF106" s="69" t="str">
        <f t="shared" si="15"/>
        <v/>
      </c>
      <c r="AG106" s="71" t="str">
        <f t="shared" si="16"/>
        <v/>
      </c>
      <c r="AH106" s="64"/>
      <c r="AI106" s="161"/>
      <c r="AJ106" s="64"/>
    </row>
    <row r="107" spans="1:36" ht="128.44999999999999" customHeight="1">
      <c r="A107" s="1">
        <v>53</v>
      </c>
      <c r="B107" s="216" t="s">
        <v>439</v>
      </c>
      <c r="C107" s="219" t="str">
        <f>+IFERROR(VLOOKUP(B107,'Validacion de datos'!A:B,2,0),"")</f>
        <v>Determinar los lineamientos estratégicos a partir del análisis del contexto interno y externo de VIVA, con la finalidad de obtener resultados para la toma de decisiones y acciones para asegurarse de la conveniencia, adecuación, eficacia y alineación continua del Sistema de Gestión que lleve al cumplimiento de su objeto social y al logro del éxito sostenido en su gestión, estableciendo parámetros generales de acción a cada uno de los procesos.</v>
      </c>
      <c r="D107" s="7" t="s">
        <v>416</v>
      </c>
      <c r="E107" s="8"/>
      <c r="F107" s="8" t="s">
        <v>94</v>
      </c>
      <c r="G107" s="19" t="s">
        <v>440</v>
      </c>
      <c r="H107" s="40" t="s">
        <v>441</v>
      </c>
      <c r="I107" s="40" t="s">
        <v>442</v>
      </c>
      <c r="J107" s="4">
        <v>243</v>
      </c>
      <c r="K107" s="52" t="str">
        <f t="shared" si="9"/>
        <v>Media</v>
      </c>
      <c r="L107" s="54">
        <f t="shared" si="0"/>
        <v>0.6</v>
      </c>
      <c r="M107" s="55" t="s">
        <v>110</v>
      </c>
      <c r="N107" s="53" t="str">
        <f>IF(NOT(ISERROR(MATCH(M107,'Validacion de datos'!$H$14:$H$16,0))),'Validacion de datos'!$J$16&amp;"Por favor no seleccionar los criterios de impacto(Afectación Económica o presupuestal y Pérdida Reputacional)",M107)</f>
        <v>El riesgo afecta la imagen de la entidad con algunos usuarios de relevancia frente al logro de los objetivos</v>
      </c>
      <c r="O107" s="52" t="str">
        <f>IF(OR(N107=IMPACTO!$C$3,N107=IMPACTO!$D$3),"Leve",IF(OR(N107=IMPACTO!$C$4,N107=IMPACTO!$D$4),"Menor",IF(OR(N107=IMPACTO!$C$5,N107=IMPACTO!$D$5),"Moderado",IF(OR(N107=IMPACTO!$C$6,N107=IMPACTO!$D$6),"Mayor",IF(OR(N107=IMPACTO!$C$7,N107=IMPACTO!$D$7),"Catastrófico","")))))</f>
        <v>Moderado</v>
      </c>
      <c r="P107" s="54">
        <f t="shared" si="10"/>
        <v>0.6</v>
      </c>
      <c r="Q107" s="78" t="str">
        <f t="shared" si="17"/>
        <v>Moderado</v>
      </c>
      <c r="R107" s="39">
        <v>1</v>
      </c>
      <c r="S107" s="83" t="s">
        <v>443</v>
      </c>
      <c r="T107" s="82" t="s">
        <v>147</v>
      </c>
      <c r="U107" s="68" t="str">
        <f t="shared" si="1"/>
        <v/>
      </c>
      <c r="V107" s="64"/>
      <c r="W107" s="64"/>
      <c r="X107" s="69" t="str">
        <f t="shared" si="12"/>
        <v/>
      </c>
      <c r="Y107" s="64"/>
      <c r="Z107" s="64"/>
      <c r="AA107" s="64"/>
      <c r="AB107" s="65" t="str">
        <f t="shared" si="13"/>
        <v/>
      </c>
      <c r="AC107" s="70" t="str">
        <f t="shared" si="4"/>
        <v/>
      </c>
      <c r="AD107" s="75" t="str">
        <f t="shared" si="14"/>
        <v/>
      </c>
      <c r="AE107" s="70" t="str">
        <f t="shared" si="6"/>
        <v/>
      </c>
      <c r="AF107" s="69" t="str">
        <f t="shared" si="15"/>
        <v/>
      </c>
      <c r="AG107" s="71" t="str">
        <f t="shared" si="16"/>
        <v/>
      </c>
      <c r="AH107" s="64"/>
      <c r="AI107" s="161"/>
      <c r="AJ107" s="64"/>
    </row>
    <row r="108" spans="1:36" ht="128.44999999999999" customHeight="1">
      <c r="A108" s="1">
        <v>54</v>
      </c>
      <c r="B108" s="217"/>
      <c r="C108" s="220"/>
      <c r="D108" s="7"/>
      <c r="E108" s="7" t="s">
        <v>142</v>
      </c>
      <c r="F108" s="7" t="s">
        <v>129</v>
      </c>
      <c r="G108" s="19" t="s">
        <v>444</v>
      </c>
      <c r="H108" s="40" t="s">
        <v>445</v>
      </c>
      <c r="I108" s="40" t="s">
        <v>446</v>
      </c>
      <c r="J108" s="4">
        <v>1</v>
      </c>
      <c r="K108" s="52" t="str">
        <f t="shared" si="9"/>
        <v>Muy Baja</v>
      </c>
      <c r="L108" s="54">
        <f t="shared" si="0"/>
        <v>0.2</v>
      </c>
      <c r="M108" s="55" t="s">
        <v>117</v>
      </c>
      <c r="N108" s="53" t="str">
        <f>IF(NOT(ISERROR(MATCH(M108,'Validacion de datos'!$H$14:$H$16,0))),'Validacion de datos'!$J$16&amp;"Por favor no seleccionar los criterios de impacto(Afectación Económica o presupuestal y Pérdida Reputacional)",M108)</f>
        <v>El riesgo afecta la imagen de de la entidad con efecto publicitario sostenido a nivel de sector administrativo, nivel departamental o municipal</v>
      </c>
      <c r="O108" s="52" t="str">
        <f>IF(OR(N108=IMPACTO!$C$3,N108=IMPACTO!$D$3),"Leve",IF(OR(N108=IMPACTO!$C$4,N108=IMPACTO!$D$4),"Menor",IF(OR(N108=IMPACTO!$C$5,N108=IMPACTO!$D$5),"Moderado",IF(OR(N108=IMPACTO!$C$6,N108=IMPACTO!$D$6),"Mayor",IF(OR(N108=IMPACTO!$C$7,N108=IMPACTO!$D$7),"Catastrófico","")))))</f>
        <v>Mayor</v>
      </c>
      <c r="P108" s="54">
        <f t="shared" si="10"/>
        <v>0.8</v>
      </c>
      <c r="Q108" s="78" t="str">
        <f t="shared" si="17"/>
        <v>Alto</v>
      </c>
      <c r="R108" s="39">
        <v>1</v>
      </c>
      <c r="S108" s="83" t="s">
        <v>447</v>
      </c>
      <c r="T108" s="4" t="s">
        <v>448</v>
      </c>
      <c r="U108" s="68" t="str">
        <f t="shared" si="1"/>
        <v/>
      </c>
      <c r="V108" s="64"/>
      <c r="W108" s="64"/>
      <c r="X108" s="69" t="str">
        <f t="shared" si="12"/>
        <v/>
      </c>
      <c r="Y108" s="64"/>
      <c r="Z108" s="64"/>
      <c r="AA108" s="64"/>
      <c r="AB108" s="65" t="str">
        <f t="shared" si="13"/>
        <v/>
      </c>
      <c r="AC108" s="70" t="str">
        <f t="shared" si="4"/>
        <v/>
      </c>
      <c r="AD108" s="75" t="str">
        <f t="shared" si="14"/>
        <v/>
      </c>
      <c r="AE108" s="70" t="str">
        <f t="shared" si="6"/>
        <v/>
      </c>
      <c r="AF108" s="69" t="str">
        <f t="shared" si="15"/>
        <v/>
      </c>
      <c r="AG108" s="71" t="str">
        <f t="shared" si="16"/>
        <v/>
      </c>
      <c r="AH108" s="64"/>
      <c r="AI108" s="161"/>
      <c r="AJ108" s="64"/>
    </row>
    <row r="109" spans="1:36" ht="128.44999999999999" customHeight="1">
      <c r="A109" s="1">
        <v>55</v>
      </c>
      <c r="B109" s="218"/>
      <c r="C109" s="221"/>
      <c r="D109" s="7"/>
      <c r="E109" s="7" t="s">
        <v>156</v>
      </c>
      <c r="F109" s="7" t="s">
        <v>94</v>
      </c>
      <c r="G109" s="19" t="s">
        <v>449</v>
      </c>
      <c r="H109" s="40" t="s">
        <v>450</v>
      </c>
      <c r="I109" s="40" t="s">
        <v>451</v>
      </c>
      <c r="J109" s="4">
        <v>243</v>
      </c>
      <c r="K109" s="52" t="str">
        <f t="shared" si="9"/>
        <v>Media</v>
      </c>
      <c r="L109" s="54">
        <f t="shared" si="0"/>
        <v>0.6</v>
      </c>
      <c r="M109" s="55" t="s">
        <v>110</v>
      </c>
      <c r="N109" s="53" t="str">
        <f>IF(NOT(ISERROR(MATCH(M109,'Validacion de datos'!$H$14:$H$16,0))),'Validacion de datos'!$J$16&amp;"Por favor no seleccionar los criterios de impacto(Afectación Económica o presupuestal y Pérdida Reputacional)",M109)</f>
        <v>El riesgo afecta la imagen de la entidad con algunos usuarios de relevancia frente al logro de los objetivos</v>
      </c>
      <c r="O109" s="52" t="str">
        <f>IF(OR(N109=IMPACTO!$C$3,N109=IMPACTO!$D$3),"Leve",IF(OR(N109=IMPACTO!$C$4,N109=IMPACTO!$D$4),"Menor",IF(OR(N109=IMPACTO!$C$5,N109=IMPACTO!$D$5),"Moderado",IF(OR(N109=IMPACTO!$C$6,N109=IMPACTO!$D$6),"Mayor",IF(OR(N109=IMPACTO!$C$7,N109=IMPACTO!$D$7),"Catastrófico","")))))</f>
        <v>Moderado</v>
      </c>
      <c r="P109" s="54">
        <f t="shared" si="10"/>
        <v>0.6</v>
      </c>
      <c r="Q109" s="78" t="str">
        <f t="shared" si="17"/>
        <v>Moderado</v>
      </c>
      <c r="R109" s="39">
        <v>1</v>
      </c>
      <c r="S109" s="83" t="s">
        <v>452</v>
      </c>
      <c r="T109" s="4" t="s">
        <v>453</v>
      </c>
      <c r="U109" s="68" t="str">
        <f t="shared" si="1"/>
        <v/>
      </c>
      <c r="V109" s="64"/>
      <c r="W109" s="64"/>
      <c r="X109" s="69" t="str">
        <f t="shared" si="12"/>
        <v/>
      </c>
      <c r="Y109" s="64"/>
      <c r="Z109" s="64"/>
      <c r="AA109" s="64"/>
      <c r="AB109" s="65" t="str">
        <f t="shared" si="13"/>
        <v/>
      </c>
      <c r="AC109" s="70" t="str">
        <f t="shared" si="4"/>
        <v/>
      </c>
      <c r="AD109" s="75" t="str">
        <f t="shared" si="14"/>
        <v/>
      </c>
      <c r="AE109" s="70" t="str">
        <f t="shared" si="6"/>
        <v/>
      </c>
      <c r="AF109" s="69" t="str">
        <f t="shared" si="15"/>
        <v/>
      </c>
      <c r="AG109" s="71" t="str">
        <f t="shared" si="16"/>
        <v/>
      </c>
      <c r="AH109" s="64"/>
      <c r="AI109" s="161"/>
      <c r="AJ109" s="64"/>
    </row>
    <row r="110" spans="1:36" ht="139.5" customHeight="1">
      <c r="A110" s="1">
        <v>56</v>
      </c>
      <c r="B110" s="216" t="s">
        <v>454</v>
      </c>
      <c r="C110" s="219" t="str">
        <f>+IFERROR(VLOOKUP(B110,'Validacion de datos'!A:B,2,0),"")</f>
        <v>Gestionar las necesidades y expectativas de nuestros grupos de valor y partes interesadas a quienes va dirigida la gestión institucional de VIVA.</v>
      </c>
      <c r="D110" s="7" t="s">
        <v>106</v>
      </c>
      <c r="E110" s="7"/>
      <c r="F110" s="7" t="s">
        <v>94</v>
      </c>
      <c r="G110" s="19" t="s">
        <v>455</v>
      </c>
      <c r="H110" s="40" t="s">
        <v>456</v>
      </c>
      <c r="I110" s="40" t="s">
        <v>457</v>
      </c>
      <c r="J110" s="4">
        <v>243</v>
      </c>
      <c r="K110" s="52" t="str">
        <f t="shared" si="9"/>
        <v>Media</v>
      </c>
      <c r="L110" s="54">
        <f t="shared" si="0"/>
        <v>0.6</v>
      </c>
      <c r="M110" s="55" t="s">
        <v>117</v>
      </c>
      <c r="N110" s="53" t="str">
        <f>IF(NOT(ISERROR(MATCH(M110,'Validacion de datos'!$H$14:$H$16,0))),'Validacion de datos'!$J$16&amp;"Por favor no seleccionar los criterios de impacto(Afectación Económica o presupuestal y Pérdida Reputacional)",M110)</f>
        <v>El riesgo afecta la imagen de de la entidad con efecto publicitario sostenido a nivel de sector administrativo, nivel departamental o municipal</v>
      </c>
      <c r="O110" s="52" t="str">
        <f>IF(OR(N110=IMPACTO!$C$3,N110=IMPACTO!$D$3),"Leve",IF(OR(N110=IMPACTO!$C$4,N110=IMPACTO!$D$4),"Menor",IF(OR(N110=IMPACTO!$C$5,N110=IMPACTO!$D$5),"Moderado",IF(OR(N110=IMPACTO!$C$6,N110=IMPACTO!$D$6),"Mayor",IF(OR(N110=IMPACTO!$C$7,N110=IMPACTO!$D$7),"Catastrófico","")))))</f>
        <v>Mayor</v>
      </c>
      <c r="P110" s="54">
        <f t="shared" si="10"/>
        <v>0.8</v>
      </c>
      <c r="Q110" s="78" t="str">
        <f t="shared" si="17"/>
        <v>Alto</v>
      </c>
      <c r="R110" s="39">
        <v>1</v>
      </c>
      <c r="S110" s="83" t="s">
        <v>458</v>
      </c>
      <c r="T110" s="4" t="s">
        <v>459</v>
      </c>
      <c r="U110" s="68" t="str">
        <f t="shared" si="1"/>
        <v/>
      </c>
      <c r="V110" s="64"/>
      <c r="W110" s="64"/>
      <c r="X110" s="69" t="str">
        <f t="shared" si="12"/>
        <v/>
      </c>
      <c r="Y110" s="64"/>
      <c r="Z110" s="64"/>
      <c r="AA110" s="64"/>
      <c r="AB110" s="65" t="str">
        <f t="shared" si="13"/>
        <v/>
      </c>
      <c r="AC110" s="70" t="str">
        <f t="shared" si="4"/>
        <v/>
      </c>
      <c r="AD110" s="75" t="str">
        <f t="shared" si="14"/>
        <v/>
      </c>
      <c r="AE110" s="70" t="str">
        <f t="shared" si="6"/>
        <v/>
      </c>
      <c r="AF110" s="69" t="str">
        <f t="shared" si="15"/>
        <v/>
      </c>
      <c r="AG110" s="71" t="str">
        <f t="shared" si="16"/>
        <v/>
      </c>
      <c r="AH110" s="64"/>
      <c r="AI110" s="161"/>
      <c r="AJ110" s="64"/>
    </row>
    <row r="111" spans="1:36" ht="139.5" customHeight="1">
      <c r="A111" s="1">
        <v>57</v>
      </c>
      <c r="B111" s="217"/>
      <c r="C111" s="220"/>
      <c r="D111" s="7" t="s">
        <v>135</v>
      </c>
      <c r="E111" s="7"/>
      <c r="F111" s="7" t="s">
        <v>94</v>
      </c>
      <c r="G111" s="19" t="s">
        <v>460</v>
      </c>
      <c r="H111" s="40" t="s">
        <v>461</v>
      </c>
      <c r="I111" s="40" t="s">
        <v>462</v>
      </c>
      <c r="J111" s="4">
        <v>243</v>
      </c>
      <c r="K111" s="52" t="str">
        <f t="shared" si="9"/>
        <v>Media</v>
      </c>
      <c r="L111" s="54">
        <f t="shared" si="0"/>
        <v>0.6</v>
      </c>
      <c r="M111" s="55" t="s">
        <v>117</v>
      </c>
      <c r="N111" s="53" t="str">
        <f>IF(NOT(ISERROR(MATCH(M111,'Validacion de datos'!$H$14:$H$16,0))),'Validacion de datos'!$J$16&amp;"Por favor no seleccionar los criterios de impacto(Afectación Económica o presupuestal y Pérdida Reputacional)",M111)</f>
        <v>El riesgo afecta la imagen de de la entidad con efecto publicitario sostenido a nivel de sector administrativo, nivel departamental o municipal</v>
      </c>
      <c r="O111" s="52" t="str">
        <f>IF(OR(N111=IMPACTO!$C$3,N111=IMPACTO!$D$3),"Leve",IF(OR(N111=IMPACTO!$C$4,N111=IMPACTO!$D$4),"Menor",IF(OR(N111=IMPACTO!$C$5,N111=IMPACTO!$D$5),"Moderado",IF(OR(N111=IMPACTO!$C$6,N111=IMPACTO!$D$6),"Mayor",IF(OR(N111=IMPACTO!$C$7,N111=IMPACTO!$D$7),"Catastrófico","")))))</f>
        <v>Mayor</v>
      </c>
      <c r="P111" s="54">
        <f t="shared" si="10"/>
        <v>0.8</v>
      </c>
      <c r="Q111" s="78" t="str">
        <f t="shared" si="17"/>
        <v>Alto</v>
      </c>
      <c r="R111" s="39">
        <v>1</v>
      </c>
      <c r="S111" s="83" t="s">
        <v>463</v>
      </c>
      <c r="T111" s="4" t="s">
        <v>464</v>
      </c>
      <c r="U111" s="68" t="str">
        <f t="shared" si="1"/>
        <v/>
      </c>
      <c r="V111" s="64"/>
      <c r="W111" s="64"/>
      <c r="X111" s="69" t="str">
        <f t="shared" si="12"/>
        <v/>
      </c>
      <c r="Y111" s="64"/>
      <c r="Z111" s="64"/>
      <c r="AA111" s="64"/>
      <c r="AB111" s="65" t="str">
        <f t="shared" si="13"/>
        <v/>
      </c>
      <c r="AC111" s="70" t="str">
        <f t="shared" si="4"/>
        <v/>
      </c>
      <c r="AD111" s="75" t="str">
        <f t="shared" si="14"/>
        <v/>
      </c>
      <c r="AE111" s="70" t="str">
        <f t="shared" si="6"/>
        <v/>
      </c>
      <c r="AF111" s="69" t="str">
        <f t="shared" si="15"/>
        <v/>
      </c>
      <c r="AG111" s="71" t="str">
        <f t="shared" si="16"/>
        <v/>
      </c>
      <c r="AH111" s="64"/>
      <c r="AI111" s="161"/>
      <c r="AJ111" s="64"/>
    </row>
    <row r="112" spans="1:36" ht="139.5" customHeight="1">
      <c r="A112" s="1">
        <v>58</v>
      </c>
      <c r="B112" s="218"/>
      <c r="C112" s="221"/>
      <c r="D112" s="7" t="s">
        <v>106</v>
      </c>
      <c r="E112" s="7"/>
      <c r="F112" s="7" t="s">
        <v>94</v>
      </c>
      <c r="G112" s="19" t="s">
        <v>465</v>
      </c>
      <c r="H112" s="40" t="s">
        <v>466</v>
      </c>
      <c r="I112" s="40" t="s">
        <v>467</v>
      </c>
      <c r="J112" s="4">
        <v>243</v>
      </c>
      <c r="K112" s="52" t="str">
        <f t="shared" si="9"/>
        <v>Media</v>
      </c>
      <c r="L112" s="54">
        <f t="shared" si="0"/>
        <v>0.6</v>
      </c>
      <c r="M112" s="55" t="s">
        <v>117</v>
      </c>
      <c r="N112" s="53" t="str">
        <f>IF(NOT(ISERROR(MATCH(M112,'Validacion de datos'!$H$14:$H$16,0))),'Validacion de datos'!$J$16&amp;"Por favor no seleccionar los criterios de impacto(Afectación Económica o presupuestal y Pérdida Reputacional)",M112)</f>
        <v>El riesgo afecta la imagen de de la entidad con efecto publicitario sostenido a nivel de sector administrativo, nivel departamental o municipal</v>
      </c>
      <c r="O112" s="52" t="str">
        <f>IF(OR(N112=IMPACTO!$C$3,N112=IMPACTO!$D$3),"Leve",IF(OR(N112=IMPACTO!$C$4,N112=IMPACTO!$D$4),"Menor",IF(OR(N112=IMPACTO!$C$5,N112=IMPACTO!$D$5),"Moderado",IF(OR(N112=IMPACTO!$C$6,N112=IMPACTO!$D$6),"Mayor",IF(OR(N112=IMPACTO!$C$7,N112=IMPACTO!$D$7),"Catastrófico","")))))</f>
        <v>Mayor</v>
      </c>
      <c r="P112" s="54">
        <f t="shared" si="10"/>
        <v>0.8</v>
      </c>
      <c r="Q112" s="78" t="str">
        <f t="shared" si="17"/>
        <v>Alto</v>
      </c>
      <c r="R112" s="39">
        <v>1</v>
      </c>
      <c r="S112" s="83" t="s">
        <v>468</v>
      </c>
      <c r="T112" s="4" t="s">
        <v>459</v>
      </c>
      <c r="U112" s="68" t="str">
        <f t="shared" si="1"/>
        <v/>
      </c>
      <c r="V112" s="64"/>
      <c r="W112" s="64"/>
      <c r="X112" s="69" t="str">
        <f t="shared" si="12"/>
        <v/>
      </c>
      <c r="Y112" s="64"/>
      <c r="Z112" s="64"/>
      <c r="AA112" s="64"/>
      <c r="AB112" s="65" t="str">
        <f t="shared" si="13"/>
        <v/>
      </c>
      <c r="AC112" s="70" t="str">
        <f t="shared" si="4"/>
        <v/>
      </c>
      <c r="AD112" s="75" t="str">
        <f t="shared" si="14"/>
        <v/>
      </c>
      <c r="AE112" s="70" t="str">
        <f t="shared" si="6"/>
        <v/>
      </c>
      <c r="AF112" s="69" t="str">
        <f t="shared" si="15"/>
        <v/>
      </c>
      <c r="AG112" s="71" t="str">
        <f t="shared" si="16"/>
        <v/>
      </c>
      <c r="AH112" s="64"/>
      <c r="AI112" s="161"/>
      <c r="AJ112" s="64"/>
    </row>
    <row r="113" spans="1:36">
      <c r="A113" s="1"/>
      <c r="B113" s="1"/>
      <c r="C113" s="19"/>
      <c r="D113" s="7"/>
      <c r="E113" s="5"/>
      <c r="F113" s="5"/>
      <c r="G113" s="72"/>
      <c r="H113" s="72"/>
      <c r="I113" s="51"/>
      <c r="J113" s="5"/>
      <c r="K113" s="52"/>
      <c r="L113" s="1"/>
      <c r="M113" s="1"/>
      <c r="N113" s="1"/>
      <c r="O113" s="52"/>
      <c r="P113" s="54"/>
      <c r="Q113" s="78"/>
      <c r="R113" s="39"/>
      <c r="S113" s="72"/>
      <c r="T113" s="51"/>
      <c r="U113" s="68"/>
      <c r="V113" s="64"/>
      <c r="W113" s="64"/>
      <c r="X113" s="69"/>
      <c r="Y113" s="64"/>
      <c r="Z113" s="64"/>
      <c r="AA113" s="64"/>
      <c r="AB113" s="65"/>
      <c r="AC113" s="70"/>
      <c r="AD113" s="75"/>
      <c r="AE113" s="70"/>
      <c r="AF113" s="69"/>
      <c r="AG113" s="71"/>
      <c r="AH113" s="64"/>
      <c r="AI113" s="161"/>
      <c r="AJ113" s="64"/>
    </row>
    <row r="114" spans="1:36">
      <c r="A114" s="1"/>
      <c r="B114" s="1"/>
      <c r="C114" s="19"/>
      <c r="D114" s="1"/>
      <c r="E114" s="1"/>
      <c r="F114" s="1"/>
      <c r="G114" s="73"/>
      <c r="H114" s="73"/>
      <c r="I114" s="1"/>
      <c r="J114" s="1"/>
      <c r="O114" s="1"/>
      <c r="P114" s="1"/>
      <c r="Q114" s="1"/>
      <c r="R114" s="74"/>
      <c r="S114" s="80"/>
      <c r="T114" s="67"/>
      <c r="U114" s="63"/>
      <c r="V114" s="67"/>
      <c r="W114" s="67"/>
      <c r="X114" s="69"/>
      <c r="Y114" s="67"/>
      <c r="Z114" s="67"/>
      <c r="AA114" s="67"/>
      <c r="AB114" s="65"/>
      <c r="AC114" s="70"/>
      <c r="AD114" s="75"/>
      <c r="AE114" s="66"/>
      <c r="AF114" s="66"/>
      <c r="AG114" s="66"/>
      <c r="AH114" s="66"/>
      <c r="AI114" s="163"/>
      <c r="AJ114" s="64"/>
    </row>
  </sheetData>
  <mergeCells count="267">
    <mergeCell ref="A30:A31"/>
    <mergeCell ref="A36:A38"/>
    <mergeCell ref="D44:D47"/>
    <mergeCell ref="C44:C47"/>
    <mergeCell ref="C41:C43"/>
    <mergeCell ref="C36:C40"/>
    <mergeCell ref="B36:B40"/>
    <mergeCell ref="T36:T38"/>
    <mergeCell ref="F36:F38"/>
    <mergeCell ref="E36:E38"/>
    <mergeCell ref="D36:D38"/>
    <mergeCell ref="I36:I38"/>
    <mergeCell ref="H36:H38"/>
    <mergeCell ref="G36:G38"/>
    <mergeCell ref="T41:T42"/>
    <mergeCell ref="B41:B43"/>
    <mergeCell ref="A41:A42"/>
    <mergeCell ref="G44:G45"/>
    <mergeCell ref="H44:H45"/>
    <mergeCell ref="I44:I45"/>
    <mergeCell ref="I46:I47"/>
    <mergeCell ref="A44:A45"/>
    <mergeCell ref="A46:A47"/>
    <mergeCell ref="AB9:AJ10"/>
    <mergeCell ref="D8:AJ8"/>
    <mergeCell ref="M7:AJ7"/>
    <mergeCell ref="C19:C21"/>
    <mergeCell ref="B19:B21"/>
    <mergeCell ref="X12:X13"/>
    <mergeCell ref="N11:N13"/>
    <mergeCell ref="G30:G31"/>
    <mergeCell ref="F30:F31"/>
    <mergeCell ref="E30:E31"/>
    <mergeCell ref="D30:D31"/>
    <mergeCell ref="AI11:AI13"/>
    <mergeCell ref="C30:C35"/>
    <mergeCell ref="B30:B35"/>
    <mergeCell ref="C22:C25"/>
    <mergeCell ref="B22:B25"/>
    <mergeCell ref="C26:C29"/>
    <mergeCell ref="B26:B29"/>
    <mergeCell ref="C6:AJ6"/>
    <mergeCell ref="R9:AA10"/>
    <mergeCell ref="AG11:AG13"/>
    <mergeCell ref="AF11:AF13"/>
    <mergeCell ref="AH11:AH13"/>
    <mergeCell ref="M11:M13"/>
    <mergeCell ref="K11:K13"/>
    <mergeCell ref="L11:L13"/>
    <mergeCell ref="G9:J10"/>
    <mergeCell ref="J11:J13"/>
    <mergeCell ref="K9:Q10"/>
    <mergeCell ref="Y12:Y13"/>
    <mergeCell ref="C7:G7"/>
    <mergeCell ref="H7:L7"/>
    <mergeCell ref="AE11:AE13"/>
    <mergeCell ref="AD11:AD13"/>
    <mergeCell ref="AC11:AC13"/>
    <mergeCell ref="T11:T13"/>
    <mergeCell ref="V11:AA11"/>
    <mergeCell ref="AB11:AB13"/>
    <mergeCell ref="Z12:Z13"/>
    <mergeCell ref="AA12:AA13"/>
    <mergeCell ref="V12:V13"/>
    <mergeCell ref="W12:W13"/>
    <mergeCell ref="A17:A18"/>
    <mergeCell ref="H17:H18"/>
    <mergeCell ref="G17:G18"/>
    <mergeCell ref="F17:F18"/>
    <mergeCell ref="E17:E18"/>
    <mergeCell ref="D17:D18"/>
    <mergeCell ref="C16:C18"/>
    <mergeCell ref="B16:B18"/>
    <mergeCell ref="B14:B15"/>
    <mergeCell ref="A14:A15"/>
    <mergeCell ref="C14:C15"/>
    <mergeCell ref="F14:F15"/>
    <mergeCell ref="E14:E15"/>
    <mergeCell ref="D14:D15"/>
    <mergeCell ref="H14:H15"/>
    <mergeCell ref="G14:G15"/>
    <mergeCell ref="A4:B4"/>
    <mergeCell ref="A5:B5"/>
    <mergeCell ref="C5:AJ5"/>
    <mergeCell ref="C4:AJ4"/>
    <mergeCell ref="A1:AJ3"/>
    <mergeCell ref="U11:U13"/>
    <mergeCell ref="A6:B6"/>
    <mergeCell ref="A9:A13"/>
    <mergeCell ref="B9:B13"/>
    <mergeCell ref="C9:C13"/>
    <mergeCell ref="D9:E10"/>
    <mergeCell ref="F9:F13"/>
    <mergeCell ref="A7:B8"/>
    <mergeCell ref="D11:D13"/>
    <mergeCell ref="E11:E13"/>
    <mergeCell ref="G11:G13"/>
    <mergeCell ref="H11:H13"/>
    <mergeCell ref="I11:I13"/>
    <mergeCell ref="O11:O13"/>
    <mergeCell ref="P11:P13"/>
    <mergeCell ref="Q11:Q13"/>
    <mergeCell ref="R11:R13"/>
    <mergeCell ref="S11:S13"/>
    <mergeCell ref="AJ11:AJ13"/>
    <mergeCell ref="B110:B112"/>
    <mergeCell ref="C110:C112"/>
    <mergeCell ref="C87:C97"/>
    <mergeCell ref="B87:B97"/>
    <mergeCell ref="C98:C106"/>
    <mergeCell ref="B98:B106"/>
    <mergeCell ref="C107:C109"/>
    <mergeCell ref="B107:B109"/>
    <mergeCell ref="C66:C74"/>
    <mergeCell ref="B66:B74"/>
    <mergeCell ref="B75:B80"/>
    <mergeCell ref="C75:C80"/>
    <mergeCell ref="B81:B85"/>
    <mergeCell ref="C81:C85"/>
    <mergeCell ref="T48:T49"/>
    <mergeCell ref="T54:T56"/>
    <mergeCell ref="B44:B47"/>
    <mergeCell ref="F44:F47"/>
    <mergeCell ref="E44:E47"/>
    <mergeCell ref="F41:F42"/>
    <mergeCell ref="E41:E42"/>
    <mergeCell ref="D41:D42"/>
    <mergeCell ref="I41:I42"/>
    <mergeCell ref="H41:H42"/>
    <mergeCell ref="G41:G42"/>
    <mergeCell ref="H46:H47"/>
    <mergeCell ref="G46:G47"/>
    <mergeCell ref="T44:T45"/>
    <mergeCell ref="T46:T47"/>
    <mergeCell ref="A48:A49"/>
    <mergeCell ref="I48:I49"/>
    <mergeCell ref="A54:A56"/>
    <mergeCell ref="I54:I56"/>
    <mergeCell ref="H54:H56"/>
    <mergeCell ref="G54:G56"/>
    <mergeCell ref="F54:F56"/>
    <mergeCell ref="E54:E56"/>
    <mergeCell ref="D54:D56"/>
    <mergeCell ref="H48:H49"/>
    <mergeCell ref="G48:G49"/>
    <mergeCell ref="F48:F49"/>
    <mergeCell ref="E48:E49"/>
    <mergeCell ref="D48:D49"/>
    <mergeCell ref="C54:C59"/>
    <mergeCell ref="B54:B59"/>
    <mergeCell ref="C48:C53"/>
    <mergeCell ref="B48:B53"/>
    <mergeCell ref="G57:G59"/>
    <mergeCell ref="I57:I59"/>
    <mergeCell ref="H57:H59"/>
    <mergeCell ref="A57:A59"/>
    <mergeCell ref="C60:C65"/>
    <mergeCell ref="B60:B65"/>
    <mergeCell ref="A60:A62"/>
    <mergeCell ref="A64:A65"/>
    <mergeCell ref="G64:G65"/>
    <mergeCell ref="E64:E65"/>
    <mergeCell ref="D64:D65"/>
    <mergeCell ref="F64:F65"/>
    <mergeCell ref="G66:G68"/>
    <mergeCell ref="F66:F68"/>
    <mergeCell ref="E66:E68"/>
    <mergeCell ref="D66:D68"/>
    <mergeCell ref="A66:A68"/>
    <mergeCell ref="A69:A71"/>
    <mergeCell ref="F69:F71"/>
    <mergeCell ref="E69:E71"/>
    <mergeCell ref="D69:D71"/>
    <mergeCell ref="G69:G71"/>
    <mergeCell ref="H69:H71"/>
    <mergeCell ref="T69:T71"/>
    <mergeCell ref="H66:H68"/>
    <mergeCell ref="A75:A76"/>
    <mergeCell ref="A72:A74"/>
    <mergeCell ref="E75:E76"/>
    <mergeCell ref="D75:D76"/>
    <mergeCell ref="F75:F76"/>
    <mergeCell ref="G72:G74"/>
    <mergeCell ref="F72:F74"/>
    <mergeCell ref="E72:E74"/>
    <mergeCell ref="D72:D74"/>
    <mergeCell ref="T60:T65"/>
    <mergeCell ref="F57:F59"/>
    <mergeCell ref="E57:E59"/>
    <mergeCell ref="D57:D59"/>
    <mergeCell ref="T57:T59"/>
    <mergeCell ref="T75:T76"/>
    <mergeCell ref="H72:H74"/>
    <mergeCell ref="T72:T74"/>
    <mergeCell ref="H75:H76"/>
    <mergeCell ref="G75:G76"/>
    <mergeCell ref="I66:I68"/>
    <mergeCell ref="T66:T68"/>
    <mergeCell ref="H64:H65"/>
    <mergeCell ref="F60:F62"/>
    <mergeCell ref="E60:E62"/>
    <mergeCell ref="D60:D62"/>
    <mergeCell ref="G60:G62"/>
    <mergeCell ref="H60:H62"/>
    <mergeCell ref="A79:A80"/>
    <mergeCell ref="H79:H80"/>
    <mergeCell ref="T79:T80"/>
    <mergeCell ref="H77:H78"/>
    <mergeCell ref="G77:G78"/>
    <mergeCell ref="F77:F78"/>
    <mergeCell ref="E77:E78"/>
    <mergeCell ref="D77:D78"/>
    <mergeCell ref="T77:T78"/>
    <mergeCell ref="A77:A78"/>
    <mergeCell ref="G79:G80"/>
    <mergeCell ref="F79:F80"/>
    <mergeCell ref="E79:E80"/>
    <mergeCell ref="D79:D80"/>
    <mergeCell ref="E87:E90"/>
    <mergeCell ref="D87:D90"/>
    <mergeCell ref="F87:F90"/>
    <mergeCell ref="A87:A90"/>
    <mergeCell ref="T87:T90"/>
    <mergeCell ref="T82:T84"/>
    <mergeCell ref="H87:H90"/>
    <mergeCell ref="G87:G90"/>
    <mergeCell ref="H82:H84"/>
    <mergeCell ref="G82:G84"/>
    <mergeCell ref="E82:E84"/>
    <mergeCell ref="D82:D84"/>
    <mergeCell ref="A82:A84"/>
    <mergeCell ref="F82:F84"/>
    <mergeCell ref="E93:E95"/>
    <mergeCell ref="D93:D95"/>
    <mergeCell ref="A93:A95"/>
    <mergeCell ref="T93:T95"/>
    <mergeCell ref="T91:T92"/>
    <mergeCell ref="H93:H95"/>
    <mergeCell ref="G93:G95"/>
    <mergeCell ref="F93:F95"/>
    <mergeCell ref="A91:A92"/>
    <mergeCell ref="H91:H92"/>
    <mergeCell ref="G91:G92"/>
    <mergeCell ref="F91:F92"/>
    <mergeCell ref="E91:E92"/>
    <mergeCell ref="D91:D92"/>
    <mergeCell ref="T102:T106"/>
    <mergeCell ref="A102:A106"/>
    <mergeCell ref="H102:H106"/>
    <mergeCell ref="G102:G106"/>
    <mergeCell ref="F102:F106"/>
    <mergeCell ref="E102:E106"/>
    <mergeCell ref="D102:D106"/>
    <mergeCell ref="A96:A97"/>
    <mergeCell ref="T96:T97"/>
    <mergeCell ref="A98:A101"/>
    <mergeCell ref="G98:G101"/>
    <mergeCell ref="F98:F101"/>
    <mergeCell ref="E98:E101"/>
    <mergeCell ref="D98:D101"/>
    <mergeCell ref="H98:H101"/>
    <mergeCell ref="T98:T101"/>
    <mergeCell ref="H96:H97"/>
    <mergeCell ref="G96:G97"/>
    <mergeCell ref="F96:F97"/>
    <mergeCell ref="E96:E97"/>
    <mergeCell ref="D96:D97"/>
  </mergeCells>
  <phoneticPr fontId="34" type="noConversion"/>
  <conditionalFormatting sqref="K14:K113">
    <cfRule type="cellIs" dxfId="35" priority="11" operator="equal">
      <formula>"Muy Alta"</formula>
    </cfRule>
    <cfRule type="cellIs" dxfId="34" priority="12" operator="equal">
      <formula>"Alta"</formula>
    </cfRule>
    <cfRule type="cellIs" dxfId="33" priority="13" operator="equal">
      <formula>"Media"</formula>
    </cfRule>
    <cfRule type="cellIs" dxfId="32" priority="14" operator="equal">
      <formula>"Baja"</formula>
    </cfRule>
    <cfRule type="cellIs" dxfId="31" priority="15" operator="equal">
      <formula>"Muy Baja"</formula>
    </cfRule>
  </conditionalFormatting>
  <conditionalFormatting sqref="M14:M112">
    <cfRule type="containsText" dxfId="30" priority="16" operator="containsText" text="EXTREMO">
      <formula>NOT(ISERROR(SEARCH("EXTREMO",M14)))</formula>
    </cfRule>
    <cfRule type="containsText" dxfId="29" priority="17" operator="containsText" text="EXTREMA">
      <formula>NOT(ISERROR(SEARCH("EXTREMA",M14)))</formula>
    </cfRule>
    <cfRule type="containsText" dxfId="28" priority="18" operator="containsText" text="ALTA">
      <formula>NOT(ISERROR(SEARCH("ALTA",M14)))</formula>
    </cfRule>
    <cfRule type="containsText" dxfId="27" priority="19" operator="containsText" text="MODERADO">
      <formula>NOT(ISERROR(SEARCH("MODERADO",M14)))</formula>
    </cfRule>
    <cfRule type="containsText" dxfId="26" priority="20" operator="containsText" text="BAJA">
      <formula>NOT(ISERROR(SEARCH("BAJA",M14)))</formula>
    </cfRule>
  </conditionalFormatting>
  <conditionalFormatting sqref="N14:N957">
    <cfRule type="containsText" dxfId="25" priority="10" operator="containsText" text="❌">
      <formula>NOT(ISERROR(SEARCH("❌",N14)))</formula>
    </cfRule>
  </conditionalFormatting>
  <conditionalFormatting sqref="O14:O113">
    <cfRule type="cellIs" dxfId="24" priority="5" operator="equal">
      <formula>"Catastrófico"</formula>
    </cfRule>
    <cfRule type="cellIs" dxfId="23" priority="6" operator="equal">
      <formula>"Mayor"</formula>
    </cfRule>
    <cfRule type="cellIs" dxfId="22" priority="7" operator="equal">
      <formula>"Moderado"</formula>
    </cfRule>
    <cfRule type="cellIs" dxfId="21" priority="8" operator="equal">
      <formula>"Menor"</formula>
    </cfRule>
    <cfRule type="cellIs" dxfId="20" priority="9" operator="equal">
      <formula>"Leve"</formula>
    </cfRule>
  </conditionalFormatting>
  <conditionalFormatting sqref="Q14:Q113">
    <cfRule type="cellIs" dxfId="19" priority="1" operator="equal">
      <formula>"Extremo"</formula>
    </cfRule>
    <cfRule type="cellIs" dxfId="18" priority="2" stopIfTrue="1" operator="equal">
      <formula>"Alto"</formula>
    </cfRule>
    <cfRule type="cellIs" dxfId="17" priority="3" operator="equal">
      <formula>"Moderado"</formula>
    </cfRule>
    <cfRule type="cellIs" dxfId="16" priority="4" operator="equal">
      <formula>"Bajo"</formula>
    </cfRule>
  </conditionalFormatting>
  <conditionalFormatting sqref="AC14:AC114">
    <cfRule type="cellIs" dxfId="15" priority="31" operator="equal">
      <formula>"Muy Alta"</formula>
    </cfRule>
    <cfRule type="cellIs" dxfId="14" priority="32" operator="equal">
      <formula>"Alta"</formula>
    </cfRule>
    <cfRule type="cellIs" dxfId="13" priority="33" operator="equal">
      <formula>"Media"</formula>
    </cfRule>
    <cfRule type="cellIs" dxfId="12" priority="34" operator="equal">
      <formula>"Baja"</formula>
    </cfRule>
    <cfRule type="cellIs" dxfId="11" priority="35" operator="equal">
      <formula>"Muy Baja"</formula>
    </cfRule>
  </conditionalFormatting>
  <conditionalFormatting sqref="AE14:AE113">
    <cfRule type="cellIs" dxfId="10" priority="25" operator="equal">
      <formula>"Catastrófico"</formula>
    </cfRule>
    <cfRule type="cellIs" dxfId="9" priority="26" operator="equal">
      <formula>"Mayor"</formula>
    </cfRule>
    <cfRule type="cellIs" dxfId="8" priority="27" operator="equal">
      <formula>"Moderado"</formula>
    </cfRule>
    <cfRule type="cellIs" dxfId="7" priority="28" operator="equal">
      <formula>"Menor"</formula>
    </cfRule>
    <cfRule type="cellIs" dxfId="6" priority="29" operator="equal">
      <formula>"Leve"</formula>
    </cfRule>
  </conditionalFormatting>
  <conditionalFormatting sqref="AG14:AG113">
    <cfRule type="cellIs" dxfId="5" priority="21" operator="equal">
      <formula>"Extremo"</formula>
    </cfRule>
    <cfRule type="cellIs" dxfId="4" priority="22" operator="equal">
      <formula>"Alto"</formula>
    </cfRule>
    <cfRule type="cellIs" dxfId="3" priority="23" operator="equal">
      <formula>"Moderado"</formula>
    </cfRule>
    <cfRule type="cellIs" dxfId="2" priority="24" operator="equal">
      <formula>"Bajo"</formula>
    </cfRule>
  </conditionalFormatting>
  <conditionalFormatting sqref="AJ81:AJ85">
    <cfRule type="containsText" dxfId="1" priority="141" operator="containsText" text="Finalizado">
      <formula>NOT(ISERROR(SEARCH("Finalizado",AJ81)))</formula>
    </cfRule>
    <cfRule type="containsText" dxfId="0" priority="142" operator="containsText" text="En curso">
      <formula>NOT(ISERROR(SEARCH("En curso",AJ81)))</formula>
    </cfRule>
  </conditionalFormatting>
  <pageMargins left="0.7" right="0.7" top="0.75" bottom="0.75" header="0.3" footer="0.3"/>
  <pageSetup scale="11" orientation="portrait" r:id="rId1"/>
  <colBreaks count="1" manualBreakCount="1">
    <brk id="36" max="112" man="1"/>
  </colBreaks>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E017CD8B-EF64-4763-A1F8-F39CE89B97E6}">
          <x14:formula1>
            <xm:f>'Validacion de datos'!$A$2:$A$21</xm:f>
          </x14:formula1>
          <xm:sqref>G114:J114 D114 P114:Q114 B14 B16 B19 B22 B26 B36 B41 B54:B56 B60:B62 B75:B76 B81:B83 B86:B90 B98:B105 B107 B110 B30 B44:B48 B66 B113:B114</xm:sqref>
        </x14:dataValidation>
        <x14:dataValidation type="list" allowBlank="1" showInputMessage="1" showErrorMessage="1" xr:uid="{44899550-FE6F-4526-BA1B-592BA061C845}">
          <x14:formula1>
            <xm:f>'Validacion de datos'!$C$2:$C$7</xm:f>
          </x14:formula1>
          <xm:sqref>D14 D16:D17 D19:D30 D32:D36 D39:D41 D50:D54 D57 D66 D60 D63:D64 D69 D75 D77 D81:D82 D85:D87 D91 D93:D94 D98 D107:D113 D43:D48</xm:sqref>
        </x14:dataValidation>
        <x14:dataValidation type="list" allowBlank="1" showInputMessage="1" showErrorMessage="1" xr:uid="{2D0F8CF5-375D-45BC-806B-1DD46A13A679}">
          <x14:formula1>
            <xm:f>'Validacion de datos'!$D$2:$D$5</xm:f>
          </x14:formula1>
          <xm:sqref>E14 E16:E17 E19:E30 E33:E36 E39:E41 E50:E54 E57 E66 E60 E63:E64 E69 E72 E75 E77 E79 E81:E82 E85:E87 E91 E93:E94 E96 E98 E102 E107:E114 E43:E48</xm:sqref>
        </x14:dataValidation>
        <x14:dataValidation type="list" allowBlank="1" showInputMessage="1" showErrorMessage="1" xr:uid="{404EE5A9-F289-4BAB-9B76-83741822D1DE}">
          <x14:formula1>
            <xm:f>'Validacion de datos'!#REF!</xm:f>
          </x14:formula1>
          <xm:sqref>M113</xm:sqref>
        </x14:dataValidation>
        <x14:dataValidation type="list" allowBlank="1" showInputMessage="1" showErrorMessage="1" xr:uid="{F85F6500-8CE8-490E-87B4-168F9B75E688}">
          <x14:formula1>
            <xm:f>'Validacion de datos'!$E$2:$E$8</xm:f>
          </x14:formula1>
          <xm:sqref>F14 F16:F17 F19:F30 F32:F36 F39:F41 F50:F54 F57 F66 F60 F63:F64 F69 F72 F75 F77 F79 F81:F82 F85:F87 F91 F93:F94 F96 F98 F102 F107:F114 F43:F48</xm:sqref>
        </x14:dataValidation>
        <x14:dataValidation type="list" allowBlank="1" showInputMessage="1" showErrorMessage="1" xr:uid="{6424498A-8CAD-4F8B-A042-570D35DEDECD}">
          <x14:formula1>
            <xm:f>'Validacion de datos'!$J$2:$J$13</xm:f>
          </x14:formula1>
          <xm:sqref>M14:M112</xm:sqref>
        </x14:dataValidation>
        <x14:dataValidation type="list" allowBlank="1" showInputMessage="1" showErrorMessage="1" xr:uid="{CD269D1F-F4C1-4375-90F4-A4CA12DD3942}">
          <x14:formula1>
            <xm:f>'Validacion de datos'!$N$2:$N$4</xm:f>
          </x14:formula1>
          <xm:sqref>V14:V113</xm:sqref>
        </x14:dataValidation>
        <x14:dataValidation type="list" allowBlank="1" showInputMessage="1" showErrorMessage="1" xr:uid="{54E1B04F-2CB2-40D3-9B42-02700DAF9B5A}">
          <x14:formula1>
            <xm:f>'Validacion de datos'!$O$2:$O$3</xm:f>
          </x14:formula1>
          <xm:sqref>W14:W114</xm:sqref>
        </x14:dataValidation>
        <x14:dataValidation type="list" allowBlank="1" showInputMessage="1" showErrorMessage="1" xr:uid="{854EC849-D9A6-4462-A51F-1ED1853CC054}">
          <x14:formula1>
            <xm:f>'Validacion de datos'!$P$2:$P$3</xm:f>
          </x14:formula1>
          <xm:sqref>Y14:Y114</xm:sqref>
        </x14:dataValidation>
        <x14:dataValidation type="list" allowBlank="1" showInputMessage="1" showErrorMessage="1" xr:uid="{ABFB84BB-4771-47A9-9000-41493CE695AF}">
          <x14:formula1>
            <xm:f>'Validacion de datos'!$Q$2:$Q$3</xm:f>
          </x14:formula1>
          <xm:sqref>Z14:Z114</xm:sqref>
        </x14:dataValidation>
        <x14:dataValidation type="list" allowBlank="1" showInputMessage="1" showErrorMessage="1" xr:uid="{E4B172C4-6577-4B46-9E4C-B681CF5952D5}">
          <x14:formula1>
            <xm:f>'Validacion de datos'!$R$2:$R$3</xm:f>
          </x14:formula1>
          <xm:sqref>AA14:AA114</xm:sqref>
        </x14:dataValidation>
        <x14:dataValidation type="list" allowBlank="1" showInputMessage="1" showErrorMessage="1" xr:uid="{8FBBB2CA-B4D1-415C-8A58-677ECA7B9DDE}">
          <x14:formula1>
            <xm:f>'Validacion de datos'!$S$2:$S$5</xm:f>
          </x14:formula1>
          <xm:sqref>AH14:AH114</xm:sqref>
        </x14:dataValidation>
        <x14:dataValidation type="list" allowBlank="1" showInputMessage="1" showErrorMessage="1" xr:uid="{710822E4-C75F-4983-881D-E2984FB408F2}">
          <x14:formula1>
            <xm:f>'Validacion de datos'!$T$2:$T$3</xm:f>
          </x14:formula1>
          <xm:sqref>AJ14:AJ114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7CFB3-8F34-4087-AF91-935CDE74E48E}">
  <dimension ref="C1:G10"/>
  <sheetViews>
    <sheetView showGridLines="0" zoomScale="93" zoomScaleNormal="93" workbookViewId="0">
      <pane ySplit="1" topLeftCell="A2" activePane="bottomLeft" state="frozen"/>
      <selection pane="bottomLeft" activeCell="J6" sqref="J6"/>
    </sheetView>
  </sheetViews>
  <sheetFormatPr defaultColWidth="10.85546875" defaultRowHeight="13.9"/>
  <cols>
    <col min="1" max="2" width="10.85546875" style="9"/>
    <col min="3" max="3" width="34.28515625" style="9" bestFit="1" customWidth="1"/>
    <col min="4" max="6" width="10.85546875" style="9" customWidth="1"/>
    <col min="7" max="7" width="19.85546875" style="9" customWidth="1"/>
    <col min="8" max="12" width="10.85546875" style="9"/>
    <col min="13" max="13" width="10.85546875" style="9" customWidth="1"/>
    <col min="14" max="16384" width="10.85546875" style="9"/>
  </cols>
  <sheetData>
    <row r="1" spans="3:7" ht="19.5" customHeight="1" thickBot="1">
      <c r="C1" s="319" t="s">
        <v>8</v>
      </c>
      <c r="D1" s="488"/>
      <c r="E1" s="488"/>
      <c r="F1" s="488"/>
      <c r="G1" s="489"/>
    </row>
    <row r="2" spans="3:7" ht="19.5" customHeight="1" thickBot="1">
      <c r="C2" s="14"/>
      <c r="D2" s="14"/>
      <c r="E2" s="14"/>
      <c r="F2" s="14"/>
      <c r="G2" s="14"/>
    </row>
    <row r="3" spans="3:7" ht="19.5" customHeight="1" thickBot="1">
      <c r="C3" s="16" t="s">
        <v>469</v>
      </c>
      <c r="D3" s="14"/>
      <c r="E3" s="320" t="s">
        <v>470</v>
      </c>
      <c r="F3" s="490"/>
      <c r="G3" s="491"/>
    </row>
    <row r="4" spans="3:7" ht="19.5" customHeight="1" thickBot="1">
      <c r="C4" s="14"/>
      <c r="D4" s="14"/>
      <c r="E4" s="14"/>
      <c r="F4" s="14"/>
      <c r="G4" s="14"/>
    </row>
    <row r="5" spans="3:7" ht="68.099999999999994" customHeight="1" thickBot="1">
      <c r="C5" s="17" t="s">
        <v>471</v>
      </c>
      <c r="D5" s="15"/>
      <c r="E5" s="317" t="s">
        <v>472</v>
      </c>
      <c r="F5" s="492"/>
      <c r="G5" s="493"/>
    </row>
    <row r="6" spans="3:7" ht="68.25" customHeight="1" thickBot="1">
      <c r="C6" s="17" t="s">
        <v>473</v>
      </c>
      <c r="D6" s="15"/>
      <c r="E6" s="317" t="s">
        <v>474</v>
      </c>
      <c r="F6" s="492"/>
      <c r="G6" s="493"/>
    </row>
    <row r="7" spans="3:7" ht="68.25" customHeight="1" thickBot="1">
      <c r="C7" s="17" t="s">
        <v>475</v>
      </c>
      <c r="D7" s="15"/>
      <c r="E7" s="317" t="s">
        <v>476</v>
      </c>
      <c r="F7" s="492"/>
      <c r="G7" s="493"/>
    </row>
    <row r="8" spans="3:7" ht="68.25" customHeight="1" thickBot="1">
      <c r="C8" s="17" t="s">
        <v>477</v>
      </c>
      <c r="D8" s="15"/>
      <c r="E8" s="318" t="s">
        <v>478</v>
      </c>
      <c r="F8" s="494"/>
      <c r="G8" s="495"/>
    </row>
    <row r="9" spans="3:7" ht="94.5" customHeight="1" thickBot="1">
      <c r="C9" s="17" t="s">
        <v>479</v>
      </c>
      <c r="D9" s="15"/>
      <c r="E9" s="496"/>
      <c r="F9" s="497"/>
      <c r="G9" s="498"/>
    </row>
    <row r="10" spans="3:7" ht="200.1" customHeight="1" thickBot="1">
      <c r="C10" s="18" t="s">
        <v>480</v>
      </c>
    </row>
  </sheetData>
  <mergeCells count="6">
    <mergeCell ref="E7:G7"/>
    <mergeCell ref="E8:G9"/>
    <mergeCell ref="C1:G1"/>
    <mergeCell ref="E3:G3"/>
    <mergeCell ref="E5:G5"/>
    <mergeCell ref="E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0787B-BD34-4D35-93A5-92042758D0FF}">
  <dimension ref="D1:E8"/>
  <sheetViews>
    <sheetView showGridLines="0" zoomScale="86" zoomScaleNormal="86" workbookViewId="0">
      <pane ySplit="1" topLeftCell="A2" activePane="bottomLeft" state="frozen"/>
      <selection pane="bottomLeft" activeCell="F7" sqref="F7"/>
    </sheetView>
  </sheetViews>
  <sheetFormatPr defaultColWidth="11.42578125" defaultRowHeight="14.45"/>
  <cols>
    <col min="4" max="4" width="42.42578125" customWidth="1"/>
    <col min="5" max="5" width="58.42578125" customWidth="1"/>
  </cols>
  <sheetData>
    <row r="1" spans="4:5" ht="39.6" customHeight="1" thickBot="1">
      <c r="D1" s="321" t="s">
        <v>481</v>
      </c>
      <c r="E1" s="499"/>
    </row>
    <row r="2" spans="4:5" ht="42.95" customHeight="1" thickBot="1">
      <c r="D2" s="20" t="s">
        <v>129</v>
      </c>
      <c r="E2" s="23" t="s">
        <v>482</v>
      </c>
    </row>
    <row r="3" spans="4:5" ht="39.950000000000003" customHeight="1" thickBot="1">
      <c r="D3" s="20" t="s">
        <v>483</v>
      </c>
      <c r="E3" s="22" t="s">
        <v>484</v>
      </c>
    </row>
    <row r="4" spans="4:5" ht="113.1" customHeight="1" thickBot="1">
      <c r="D4" s="20" t="s">
        <v>248</v>
      </c>
      <c r="E4" s="22" t="s">
        <v>485</v>
      </c>
    </row>
    <row r="5" spans="4:5" ht="53.45" customHeight="1" thickBot="1">
      <c r="D5" s="20" t="s">
        <v>381</v>
      </c>
      <c r="E5" s="22" t="s">
        <v>486</v>
      </c>
    </row>
    <row r="6" spans="4:5" ht="69" customHeight="1" thickBot="1">
      <c r="D6" s="20" t="s">
        <v>487</v>
      </c>
      <c r="E6" s="22" t="s">
        <v>488</v>
      </c>
    </row>
    <row r="7" spans="4:5" ht="100.5" customHeight="1" thickBot="1">
      <c r="D7" s="20" t="s">
        <v>94</v>
      </c>
      <c r="E7" s="21" t="s">
        <v>489</v>
      </c>
    </row>
    <row r="8" spans="4:5" ht="72" customHeight="1" thickBot="1">
      <c r="D8" s="20" t="s">
        <v>340</v>
      </c>
      <c r="E8" s="24" t="s">
        <v>490</v>
      </c>
    </row>
  </sheetData>
  <mergeCells count="1">
    <mergeCell ref="D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E8939-D737-4982-B029-E76087AF8E47}">
  <dimension ref="A2:Y9"/>
  <sheetViews>
    <sheetView showGridLines="0" workbookViewId="0">
      <selection activeCell="B8" sqref="B8"/>
    </sheetView>
  </sheetViews>
  <sheetFormatPr defaultColWidth="11.42578125" defaultRowHeight="14.45"/>
  <cols>
    <col min="2" max="2" width="16.7109375" customWidth="1"/>
    <col min="3" max="3" width="59.42578125" bestFit="1" customWidth="1"/>
    <col min="4" max="4" width="23.42578125" customWidth="1"/>
  </cols>
  <sheetData>
    <row r="2" spans="1:25" ht="15" thickBot="1"/>
    <row r="3" spans="1:25" ht="16.149999999999999" thickBot="1">
      <c r="A3" s="26"/>
      <c r="B3" s="322" t="s">
        <v>491</v>
      </c>
      <c r="C3" s="500"/>
      <c r="D3" s="501"/>
      <c r="E3" s="26"/>
      <c r="F3" s="26"/>
      <c r="G3" s="26"/>
      <c r="H3" s="26"/>
      <c r="I3" s="26"/>
      <c r="J3" s="26"/>
      <c r="K3" s="26"/>
      <c r="L3" s="26"/>
      <c r="M3" s="26"/>
      <c r="N3" s="26"/>
      <c r="O3" s="26"/>
      <c r="P3" s="26"/>
      <c r="Q3" s="26"/>
      <c r="R3" s="26"/>
      <c r="S3" s="26"/>
      <c r="T3" s="26"/>
      <c r="U3" s="26"/>
      <c r="V3" s="26"/>
      <c r="W3" s="26"/>
      <c r="X3" s="26"/>
      <c r="Y3" s="26"/>
    </row>
    <row r="4" spans="1:25" ht="15" thickBot="1">
      <c r="A4" s="26"/>
      <c r="B4" s="38" t="s">
        <v>492</v>
      </c>
      <c r="C4" s="38" t="s">
        <v>493</v>
      </c>
      <c r="D4" s="38" t="s">
        <v>494</v>
      </c>
      <c r="E4" s="26"/>
      <c r="F4" s="26"/>
      <c r="G4" s="26"/>
      <c r="H4" s="26"/>
      <c r="I4" s="26"/>
      <c r="J4" s="26"/>
      <c r="K4" s="26"/>
      <c r="L4" s="26"/>
      <c r="M4" s="26"/>
      <c r="N4" s="26"/>
      <c r="O4" s="26"/>
      <c r="P4" s="26"/>
      <c r="Q4" s="26"/>
      <c r="R4" s="26"/>
      <c r="S4" s="26"/>
      <c r="T4" s="26"/>
      <c r="U4" s="26"/>
      <c r="V4" s="26"/>
      <c r="W4" s="26"/>
      <c r="X4" s="26"/>
      <c r="Y4" s="26"/>
    </row>
    <row r="5" spans="1:25" ht="37.5" customHeight="1">
      <c r="A5" s="26"/>
      <c r="B5" s="27" t="s">
        <v>495</v>
      </c>
      <c r="C5" s="28" t="s">
        <v>496</v>
      </c>
      <c r="D5" s="35">
        <v>0.2</v>
      </c>
      <c r="E5" s="26"/>
      <c r="F5" s="26"/>
      <c r="G5" s="26"/>
      <c r="H5" s="26"/>
      <c r="I5" s="26"/>
      <c r="J5" s="26"/>
      <c r="K5" s="26"/>
      <c r="L5" s="26"/>
      <c r="M5" s="26"/>
      <c r="N5" s="26"/>
      <c r="O5" s="26"/>
      <c r="P5" s="26"/>
      <c r="Q5" s="26"/>
      <c r="R5" s="26"/>
      <c r="S5" s="26"/>
      <c r="T5" s="26"/>
      <c r="U5" s="26"/>
      <c r="V5" s="26"/>
      <c r="W5" s="26"/>
      <c r="X5" s="26"/>
      <c r="Y5" s="26"/>
    </row>
    <row r="6" spans="1:25" ht="42.6" customHeight="1">
      <c r="A6" s="26"/>
      <c r="B6" s="29" t="s">
        <v>497</v>
      </c>
      <c r="C6" s="30" t="s">
        <v>498</v>
      </c>
      <c r="D6" s="36">
        <v>0.4</v>
      </c>
      <c r="E6" s="26"/>
      <c r="F6" s="26"/>
      <c r="G6" s="26"/>
      <c r="H6" s="26"/>
      <c r="I6" s="26"/>
      <c r="J6" s="26"/>
      <c r="K6" s="26"/>
      <c r="L6" s="26"/>
      <c r="M6" s="26"/>
      <c r="N6" s="26"/>
      <c r="O6" s="26"/>
      <c r="P6" s="26"/>
      <c r="Q6" s="26"/>
      <c r="R6" s="26"/>
      <c r="S6" s="26"/>
      <c r="T6" s="26"/>
      <c r="U6" s="26"/>
      <c r="V6" s="26"/>
      <c r="W6" s="26"/>
      <c r="X6" s="26"/>
      <c r="Y6" s="26"/>
    </row>
    <row r="7" spans="1:25" ht="31.5" customHeight="1">
      <c r="A7" s="26"/>
      <c r="B7" s="31" t="s">
        <v>499</v>
      </c>
      <c r="C7" s="30" t="s">
        <v>500</v>
      </c>
      <c r="D7" s="36">
        <v>0.6</v>
      </c>
      <c r="E7" s="26"/>
      <c r="F7" s="26"/>
      <c r="G7" s="26"/>
      <c r="H7" s="26"/>
      <c r="I7" s="26"/>
      <c r="J7" s="26"/>
      <c r="K7" s="26"/>
      <c r="L7" s="26"/>
      <c r="M7" s="26"/>
      <c r="N7" s="26"/>
      <c r="O7" s="26"/>
      <c r="P7" s="26"/>
      <c r="Q7" s="26"/>
      <c r="R7" s="26"/>
      <c r="S7" s="26"/>
      <c r="T7" s="26"/>
      <c r="U7" s="26"/>
      <c r="V7" s="26"/>
      <c r="W7" s="26"/>
      <c r="X7" s="26"/>
      <c r="Y7" s="26"/>
    </row>
    <row r="8" spans="1:25" ht="41.1" customHeight="1">
      <c r="A8" s="26"/>
      <c r="B8" s="32" t="s">
        <v>501</v>
      </c>
      <c r="C8" s="30" t="s">
        <v>502</v>
      </c>
      <c r="D8" s="36">
        <v>0.8</v>
      </c>
      <c r="E8" s="26"/>
      <c r="F8" s="26"/>
      <c r="G8" s="26"/>
      <c r="H8" s="26"/>
      <c r="I8" s="26"/>
      <c r="J8" s="26"/>
      <c r="K8" s="26"/>
      <c r="L8" s="26"/>
      <c r="M8" s="26"/>
      <c r="N8" s="26"/>
      <c r="O8" s="26"/>
      <c r="P8" s="26"/>
      <c r="Q8" s="26"/>
      <c r="R8" s="26"/>
      <c r="S8" s="26"/>
      <c r="T8" s="26"/>
      <c r="U8" s="26"/>
      <c r="V8" s="26"/>
      <c r="W8" s="26"/>
      <c r="X8" s="26"/>
      <c r="Y8" s="26"/>
    </row>
    <row r="9" spans="1:25" ht="42" customHeight="1" thickBot="1">
      <c r="A9" s="26"/>
      <c r="B9" s="33" t="s">
        <v>503</v>
      </c>
      <c r="C9" s="34" t="s">
        <v>504</v>
      </c>
      <c r="D9" s="37">
        <v>1</v>
      </c>
      <c r="E9" s="26"/>
      <c r="F9" s="26"/>
      <c r="G9" s="26"/>
      <c r="H9" s="26"/>
      <c r="I9" s="26"/>
      <c r="J9" s="26"/>
      <c r="K9" s="26"/>
      <c r="L9" s="26"/>
      <c r="M9" s="26"/>
      <c r="N9" s="26"/>
      <c r="O9" s="26"/>
      <c r="P9" s="26"/>
      <c r="Q9" s="26"/>
      <c r="R9" s="26"/>
      <c r="S9" s="26"/>
      <c r="T9" s="26"/>
      <c r="U9" s="26"/>
      <c r="V9" s="26"/>
      <c r="W9" s="26"/>
      <c r="X9" s="26"/>
      <c r="Y9" s="26"/>
    </row>
  </sheetData>
  <mergeCells count="1">
    <mergeCell ref="B3: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EDC1A-CCC2-4E8F-A27B-4C7662AA20CF}">
  <dimension ref="B1:D7"/>
  <sheetViews>
    <sheetView topLeftCell="B1" zoomScale="80" zoomScaleNormal="80" workbookViewId="0">
      <selection activeCell="C6" sqref="C6"/>
    </sheetView>
  </sheetViews>
  <sheetFormatPr defaultColWidth="11.42578125" defaultRowHeight="14.45"/>
  <cols>
    <col min="2" max="2" width="39.140625" customWidth="1"/>
    <col min="3" max="3" width="69.5703125" customWidth="1"/>
    <col min="4" max="4" width="80.5703125" customWidth="1"/>
  </cols>
  <sheetData>
    <row r="1" spans="2:4" ht="27" customHeight="1">
      <c r="B1" s="323" t="s">
        <v>505</v>
      </c>
      <c r="C1" s="323"/>
      <c r="D1" s="323"/>
    </row>
    <row r="2" spans="2:4" ht="63" customHeight="1">
      <c r="B2" s="171"/>
      <c r="C2" s="48" t="s">
        <v>506</v>
      </c>
      <c r="D2" s="49" t="s">
        <v>507</v>
      </c>
    </row>
    <row r="3" spans="2:4" ht="48.95" customHeight="1">
      <c r="B3" s="47" t="s">
        <v>508</v>
      </c>
      <c r="C3" s="41" t="s">
        <v>509</v>
      </c>
      <c r="D3" s="42" t="s">
        <v>98</v>
      </c>
    </row>
    <row r="4" spans="2:4" ht="124.5" customHeight="1">
      <c r="B4" s="43" t="s">
        <v>510</v>
      </c>
      <c r="C4" s="41" t="s">
        <v>511</v>
      </c>
      <c r="D4" s="42" t="s">
        <v>102</v>
      </c>
    </row>
    <row r="5" spans="2:4" ht="27.6">
      <c r="B5" s="44" t="s">
        <v>512</v>
      </c>
      <c r="C5" s="41" t="s">
        <v>282</v>
      </c>
      <c r="D5" s="42" t="s">
        <v>110</v>
      </c>
    </row>
    <row r="6" spans="2:4" ht="27.6">
      <c r="B6" s="45" t="s">
        <v>513</v>
      </c>
      <c r="C6" s="41" t="s">
        <v>139</v>
      </c>
      <c r="D6" s="42" t="s">
        <v>117</v>
      </c>
    </row>
    <row r="7" spans="2:4" ht="27.6">
      <c r="B7" s="46" t="s">
        <v>514</v>
      </c>
      <c r="C7" s="41" t="s">
        <v>515</v>
      </c>
      <c r="D7" s="42" t="s">
        <v>170</v>
      </c>
    </row>
  </sheetData>
  <mergeCells count="1">
    <mergeCell ref="B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99C19-763F-4C09-B922-D4AFD933D0D3}">
  <dimension ref="E1:CY140"/>
  <sheetViews>
    <sheetView showGridLines="0" zoomScale="40" zoomScaleNormal="40" workbookViewId="0">
      <selection activeCell="AX58" sqref="AX58"/>
    </sheetView>
  </sheetViews>
  <sheetFormatPr defaultColWidth="10.85546875" defaultRowHeight="13.9"/>
  <cols>
    <col min="1" max="5" width="10.85546875" style="9"/>
    <col min="6" max="43" width="5.7109375" style="9" customWidth="1"/>
    <col min="44" max="44" width="10.85546875" style="9"/>
    <col min="45" max="50" width="5.7109375" style="9" customWidth="1"/>
    <col min="51" max="16384" width="10.85546875" style="9"/>
  </cols>
  <sheetData>
    <row r="1" spans="5:103">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row>
    <row r="2" spans="5:103" ht="18" customHeight="1">
      <c r="E2" s="92"/>
      <c r="F2" s="415" t="s">
        <v>516</v>
      </c>
      <c r="G2" s="415"/>
      <c r="H2" s="415"/>
      <c r="I2" s="415"/>
      <c r="J2" s="415"/>
      <c r="K2" s="415"/>
      <c r="L2" s="415"/>
      <c r="M2" s="415"/>
      <c r="N2" s="416" t="s">
        <v>517</v>
      </c>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row>
    <row r="3" spans="5:103" ht="18.75" customHeight="1">
      <c r="E3" s="92"/>
      <c r="F3" s="415"/>
      <c r="G3" s="415"/>
      <c r="H3" s="415"/>
      <c r="I3" s="415"/>
      <c r="J3" s="415"/>
      <c r="K3" s="415"/>
      <c r="L3" s="415"/>
      <c r="M3" s="415"/>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16"/>
      <c r="AP3" s="416"/>
      <c r="AQ3" s="416"/>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row>
    <row r="4" spans="5:103" ht="15" customHeight="1">
      <c r="E4" s="92"/>
      <c r="F4" s="415"/>
      <c r="G4" s="415"/>
      <c r="H4" s="415"/>
      <c r="I4" s="415"/>
      <c r="J4" s="415"/>
      <c r="K4" s="415"/>
      <c r="L4" s="415"/>
      <c r="M4" s="415"/>
      <c r="N4" s="416"/>
      <c r="O4" s="416"/>
      <c r="P4" s="416"/>
      <c r="Q4" s="416"/>
      <c r="R4" s="416"/>
      <c r="S4" s="416"/>
      <c r="T4" s="416"/>
      <c r="U4" s="416"/>
      <c r="V4" s="416"/>
      <c r="W4" s="416"/>
      <c r="X4" s="416"/>
      <c r="Y4" s="416"/>
      <c r="Z4" s="416"/>
      <c r="AA4" s="416"/>
      <c r="AB4" s="416"/>
      <c r="AC4" s="416"/>
      <c r="AD4" s="416"/>
      <c r="AE4" s="416"/>
      <c r="AF4" s="416"/>
      <c r="AG4" s="416"/>
      <c r="AH4" s="416"/>
      <c r="AI4" s="416"/>
      <c r="AJ4" s="416"/>
      <c r="AK4" s="416"/>
      <c r="AL4" s="416"/>
      <c r="AM4" s="416"/>
      <c r="AN4" s="416"/>
      <c r="AO4" s="416"/>
      <c r="AP4" s="416"/>
      <c r="AQ4" s="416"/>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row>
    <row r="5" spans="5:103" ht="14.45" thickBot="1">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row>
    <row r="6" spans="5:103" ht="15" customHeight="1">
      <c r="E6" s="92"/>
      <c r="F6" s="417" t="s">
        <v>518</v>
      </c>
      <c r="G6" s="417"/>
      <c r="H6" s="418"/>
      <c r="I6" s="324" t="s">
        <v>519</v>
      </c>
      <c r="J6" s="325"/>
      <c r="K6" s="325"/>
      <c r="L6" s="325"/>
      <c r="M6" s="326"/>
      <c r="N6" s="379" t="str">
        <f>IF(AND('[2]Mapa final'!$H$18="Muy Alta",'[2]Mapa final'!$L$18="Leve"),CONCATENATE("R",'[2]Mapa final'!$A$18),"")</f>
        <v/>
      </c>
      <c r="O6" s="380"/>
      <c r="P6" s="380"/>
      <c r="Q6" s="380"/>
      <c r="R6" s="380"/>
      <c r="S6" s="381"/>
      <c r="T6" s="379" t="str">
        <f>IF(AND('[2]Mapa final'!$H$12="Muy Alta",'[2]Mapa final'!$L$12="Menor"),CONCATENATE("R",'[2]Mapa final'!$A$12),"")</f>
        <v/>
      </c>
      <c r="U6" s="380"/>
      <c r="V6" s="380" t="str">
        <f>IF(AND('[2]Mapa final'!$H$18="Muy Alta",'[2]Mapa final'!$L$18="Menor"),CONCATENATE("R",'[2]Mapa final'!$A$18),"")</f>
        <v/>
      </c>
      <c r="W6" s="380"/>
      <c r="X6" s="380" t="str">
        <f>IF(AND('[2]Mapa final'!$H$24="Muy Alta",'[2]Mapa final'!$L$24="Menor"),CONCATENATE("R",'[2]Mapa final'!$A$24),"")</f>
        <v/>
      </c>
      <c r="Y6" s="381"/>
      <c r="Z6" s="379" t="str">
        <f>IF(AND('[2]Mapa final'!$H$12="Muy Alta",'[2]Mapa final'!$L$12="Moderado"),CONCATENATE("R",'[2]Mapa final'!$A$12),"")</f>
        <v/>
      </c>
      <c r="AA6" s="380"/>
      <c r="AB6" s="380" t="str">
        <f>IF(AND('[2]Mapa final'!$H$18="Muy Alta",'[2]Mapa final'!$L$18="Moderado"),CONCATENATE("R",'[2]Mapa final'!$A$18),"")</f>
        <v/>
      </c>
      <c r="AC6" s="380"/>
      <c r="AD6" s="380" t="str">
        <f>IF(AND('[2]Mapa final'!$H$24="Muy Alta",'[2]Mapa final'!$L$24="Moderado"),CONCATENATE("R",'[2]Mapa final'!$A$24),"")</f>
        <v/>
      </c>
      <c r="AE6" s="381"/>
      <c r="AF6" s="379" t="str">
        <f>IF(AND('[2]Mapa final'!$H$12="Muy Alta",'[2]Mapa final'!$L$12="Mayor"),CONCATENATE("R",'[2]Mapa final'!$A$12),"")</f>
        <v/>
      </c>
      <c r="AG6" s="380"/>
      <c r="AH6" s="380" t="str">
        <f>IF(AND('[2]Mapa final'!$H$18="Muy Alta",'[2]Mapa final'!$L$18="Mayor"),CONCATENATE("R",'[2]Mapa final'!$A$18),"")</f>
        <v/>
      </c>
      <c r="AI6" s="380"/>
      <c r="AJ6" s="380" t="str">
        <f>IF(AND('[2]Mapa final'!$H$24="Muy Alta",'[2]Mapa final'!$L$24="Mayor"),CONCATENATE("R",'[2]Mapa final'!$A$24),"")</f>
        <v/>
      </c>
      <c r="AK6" s="381"/>
      <c r="AL6" s="370" t="str">
        <f>IF(AND('[2]Mapa final'!$H$12="Muy Alta",'[2]Mapa final'!$L$12="Catastrófico"),CONCATENATE("R",'[2]Mapa final'!$A$12),"")</f>
        <v/>
      </c>
      <c r="AM6" s="371"/>
      <c r="AN6" s="371"/>
      <c r="AO6" s="371"/>
      <c r="AP6" s="371"/>
      <c r="AQ6" s="372"/>
      <c r="AS6" s="397" t="s">
        <v>520</v>
      </c>
      <c r="AT6" s="398"/>
      <c r="AU6" s="398"/>
      <c r="AV6" s="398"/>
      <c r="AW6" s="398"/>
      <c r="AX6" s="399"/>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row>
    <row r="7" spans="5:103" ht="15" customHeight="1">
      <c r="E7" s="92"/>
      <c r="F7" s="417"/>
      <c r="G7" s="417"/>
      <c r="H7" s="418"/>
      <c r="I7" s="327"/>
      <c r="J7" s="328"/>
      <c r="K7" s="328"/>
      <c r="L7" s="328"/>
      <c r="M7" s="329"/>
      <c r="N7" s="382"/>
      <c r="O7" s="383"/>
      <c r="P7" s="383"/>
      <c r="Q7" s="383"/>
      <c r="R7" s="383"/>
      <c r="S7" s="384"/>
      <c r="T7" s="382"/>
      <c r="U7" s="383"/>
      <c r="V7" s="383"/>
      <c r="W7" s="383"/>
      <c r="X7" s="383"/>
      <c r="Y7" s="384"/>
      <c r="Z7" s="382"/>
      <c r="AA7" s="383"/>
      <c r="AB7" s="383"/>
      <c r="AC7" s="383"/>
      <c r="AD7" s="383"/>
      <c r="AE7" s="384"/>
      <c r="AF7" s="382"/>
      <c r="AG7" s="383"/>
      <c r="AH7" s="383"/>
      <c r="AI7" s="383"/>
      <c r="AJ7" s="383"/>
      <c r="AK7" s="384"/>
      <c r="AL7" s="373"/>
      <c r="AM7" s="374"/>
      <c r="AN7" s="374"/>
      <c r="AO7" s="374"/>
      <c r="AP7" s="374"/>
      <c r="AQ7" s="375"/>
      <c r="AR7" s="92"/>
      <c r="AS7" s="400"/>
      <c r="AT7" s="401"/>
      <c r="AU7" s="401"/>
      <c r="AV7" s="401"/>
      <c r="AW7" s="401"/>
      <c r="AX7" s="40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row>
    <row r="8" spans="5:103" ht="15" customHeight="1">
      <c r="E8" s="92"/>
      <c r="F8" s="417"/>
      <c r="G8" s="417"/>
      <c r="H8" s="418"/>
      <c r="I8" s="327"/>
      <c r="J8" s="328"/>
      <c r="K8" s="328"/>
      <c r="L8" s="328"/>
      <c r="M8" s="329"/>
      <c r="N8" s="382"/>
      <c r="O8" s="383"/>
      <c r="P8" s="383"/>
      <c r="Q8" s="383"/>
      <c r="R8" s="383"/>
      <c r="S8" s="384"/>
      <c r="T8" s="382" t="str">
        <f>IF(AND('[2]Mapa final'!$H$30="Muy Alta",'[2]Mapa final'!$L$30="Menor"),CONCATENATE("R",'[2]Mapa final'!$A$30),"")</f>
        <v/>
      </c>
      <c r="U8" s="383"/>
      <c r="V8" s="383" t="str">
        <f>IF(AND('[2]Mapa final'!$H$36="Muy Alta",'[2]Mapa final'!$L$36="Menor"),CONCATENATE("R",'[2]Mapa final'!$A$36),"")</f>
        <v/>
      </c>
      <c r="W8" s="383"/>
      <c r="X8" s="383" t="str">
        <f>IF(AND('[2]Mapa final'!$H$42="Muy Alta",'[2]Mapa final'!$L$42="Menor"),CONCATENATE("R",'[2]Mapa final'!$A$42),"")</f>
        <v/>
      </c>
      <c r="Y8" s="384"/>
      <c r="Z8" s="382" t="str">
        <f>IF(AND('[2]Mapa final'!$H$30="Muy Alta",'[2]Mapa final'!$L$30="Moderado"),CONCATENATE("R",'[2]Mapa final'!$A$30),"")</f>
        <v/>
      </c>
      <c r="AA8" s="383"/>
      <c r="AB8" s="383" t="str">
        <f>IF(AND('[2]Mapa final'!$H$36="Muy Alta",'[2]Mapa final'!$L$36="Moderado"),CONCATENATE("R",'[2]Mapa final'!$A$36),"")</f>
        <v/>
      </c>
      <c r="AC8" s="383"/>
      <c r="AD8" s="383" t="str">
        <f>IF(AND('[2]Mapa final'!$H$42="Muy Alta",'[2]Mapa final'!$L$42="Moderado"),CONCATENATE("R",'[2]Mapa final'!$A$42),"")</f>
        <v/>
      </c>
      <c r="AE8" s="384"/>
      <c r="AF8" s="382" t="str">
        <f>IF(AND('[2]Mapa final'!$H$30="Muy Alta",'[2]Mapa final'!$L$30="Mayor"),CONCATENATE("R",'[2]Mapa final'!$A$30),"")</f>
        <v/>
      </c>
      <c r="AG8" s="383"/>
      <c r="AH8" s="383" t="str">
        <f>IF(AND('[2]Mapa final'!$H$36="Muy Alta",'[2]Mapa final'!$L$36="Mayor"),CONCATENATE("R",'[2]Mapa final'!$A$36),"")</f>
        <v/>
      </c>
      <c r="AI8" s="383"/>
      <c r="AJ8" s="383" t="str">
        <f>IF(AND('[2]Mapa final'!$H$42="Muy Alta",'[2]Mapa final'!$L$42="Mayor"),CONCATENATE("R",'[2]Mapa final'!$A$42),"")</f>
        <v/>
      </c>
      <c r="AK8" s="384"/>
      <c r="AL8" s="373"/>
      <c r="AM8" s="374"/>
      <c r="AN8" s="374"/>
      <c r="AO8" s="374"/>
      <c r="AP8" s="374"/>
      <c r="AQ8" s="375"/>
      <c r="AR8" s="92"/>
      <c r="AS8" s="400"/>
      <c r="AT8" s="401"/>
      <c r="AU8" s="401"/>
      <c r="AV8" s="401"/>
      <c r="AW8" s="401"/>
      <c r="AX8" s="40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row>
    <row r="9" spans="5:103" ht="15" customHeight="1">
      <c r="E9" s="92"/>
      <c r="F9" s="417"/>
      <c r="G9" s="417"/>
      <c r="H9" s="418"/>
      <c r="I9" s="327"/>
      <c r="J9" s="328"/>
      <c r="K9" s="328"/>
      <c r="L9" s="328"/>
      <c r="M9" s="329"/>
      <c r="N9" s="382"/>
      <c r="O9" s="383"/>
      <c r="P9" s="383"/>
      <c r="Q9" s="383"/>
      <c r="R9" s="383"/>
      <c r="S9" s="384"/>
      <c r="T9" s="382"/>
      <c r="U9" s="383"/>
      <c r="V9" s="383"/>
      <c r="W9" s="383"/>
      <c r="X9" s="383"/>
      <c r="Y9" s="384"/>
      <c r="Z9" s="382"/>
      <c r="AA9" s="383"/>
      <c r="AB9" s="383"/>
      <c r="AC9" s="383"/>
      <c r="AD9" s="383"/>
      <c r="AE9" s="384"/>
      <c r="AF9" s="382"/>
      <c r="AG9" s="383"/>
      <c r="AH9" s="383"/>
      <c r="AI9" s="383"/>
      <c r="AJ9" s="383"/>
      <c r="AK9" s="384"/>
      <c r="AL9" s="373"/>
      <c r="AM9" s="374"/>
      <c r="AN9" s="374"/>
      <c r="AO9" s="374"/>
      <c r="AP9" s="374"/>
      <c r="AQ9" s="375"/>
      <c r="AR9" s="92"/>
      <c r="AS9" s="400"/>
      <c r="AT9" s="401"/>
      <c r="AU9" s="401"/>
      <c r="AV9" s="401"/>
      <c r="AW9" s="401"/>
      <c r="AX9" s="40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row>
    <row r="10" spans="5:103" ht="15" customHeight="1">
      <c r="E10" s="92"/>
      <c r="F10" s="417"/>
      <c r="G10" s="417"/>
      <c r="H10" s="418"/>
      <c r="I10" s="327"/>
      <c r="J10" s="328"/>
      <c r="K10" s="328"/>
      <c r="L10" s="328"/>
      <c r="M10" s="329"/>
      <c r="N10" s="382"/>
      <c r="O10" s="383"/>
      <c r="P10" s="383"/>
      <c r="Q10" s="383"/>
      <c r="R10" s="383"/>
      <c r="S10" s="384"/>
      <c r="T10" s="382" t="str">
        <f>IF(AND('[2]Mapa final'!$H$48="Muy Alta",'[2]Mapa final'!$L$48="Menor"),CONCATENATE("R",'[2]Mapa final'!$A$48),"")</f>
        <v/>
      </c>
      <c r="U10" s="383"/>
      <c r="V10" s="383" t="str">
        <f>IF(AND('[2]Mapa final'!$H$54="Muy Alta",'[2]Mapa final'!$L$54="Menor"),CONCATENATE("R",'[2]Mapa final'!$A$54),"")</f>
        <v/>
      </c>
      <c r="W10" s="383"/>
      <c r="X10" s="383" t="str">
        <f>IF(AND('[2]Mapa final'!$H$60="Muy Alta",'[2]Mapa final'!$L$60="Menor"),CONCATENATE("R",'[2]Mapa final'!$A$60),"")</f>
        <v/>
      </c>
      <c r="Y10" s="384"/>
      <c r="Z10" s="382" t="str">
        <f>IF(AND('[2]Mapa final'!$H$48="Muy Alta",'[2]Mapa final'!$L$48="Moderado"),CONCATENATE("R",'[2]Mapa final'!$A$48),"")</f>
        <v/>
      </c>
      <c r="AA10" s="383"/>
      <c r="AB10" s="383" t="str">
        <f>IF(AND('[2]Mapa final'!$H$54="Muy Alta",'[2]Mapa final'!$L$54="Moderado"),CONCATENATE("R",'[2]Mapa final'!$A$54),"")</f>
        <v/>
      </c>
      <c r="AC10" s="383"/>
      <c r="AD10" s="383" t="str">
        <f>IF(AND('[2]Mapa final'!$H$60="Muy Alta",'[2]Mapa final'!$L$60="Moderado"),CONCATENATE("R",'[2]Mapa final'!$A$60),"")</f>
        <v/>
      </c>
      <c r="AE10" s="384"/>
      <c r="AF10" s="382" t="str">
        <f>IF(AND('[2]Mapa final'!$H$48="Muy Alta",'[2]Mapa final'!$L$48="Mayor"),CONCATENATE("R",'[2]Mapa final'!$A$48),"")</f>
        <v/>
      </c>
      <c r="AG10" s="383"/>
      <c r="AH10" s="383" t="str">
        <f>IF(AND('[2]Mapa final'!$H$54="Muy Alta",'[2]Mapa final'!$L$54="Mayor"),CONCATENATE("R",'[2]Mapa final'!$A$54),"")</f>
        <v/>
      </c>
      <c r="AI10" s="383"/>
      <c r="AJ10" s="383" t="str">
        <f>IF(AND('[2]Mapa final'!$H$60="Muy Alta",'[2]Mapa final'!$L$60="Mayor"),CONCATENATE("R",'[2]Mapa final'!$A$60),"")</f>
        <v/>
      </c>
      <c r="AK10" s="384"/>
      <c r="AL10" s="373"/>
      <c r="AM10" s="374"/>
      <c r="AN10" s="374"/>
      <c r="AO10" s="374"/>
      <c r="AP10" s="374"/>
      <c r="AQ10" s="375"/>
      <c r="AR10" s="92"/>
      <c r="AS10" s="400"/>
      <c r="AT10" s="401"/>
      <c r="AU10" s="401"/>
      <c r="AV10" s="401"/>
      <c r="AW10" s="401"/>
      <c r="AX10" s="40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row>
    <row r="11" spans="5:103" ht="15" customHeight="1">
      <c r="E11" s="92"/>
      <c r="F11" s="417"/>
      <c r="G11" s="417"/>
      <c r="H11" s="418"/>
      <c r="I11" s="327"/>
      <c r="J11" s="328"/>
      <c r="K11" s="328"/>
      <c r="L11" s="328"/>
      <c r="M11" s="329"/>
      <c r="N11" s="382"/>
      <c r="O11" s="383"/>
      <c r="P11" s="383"/>
      <c r="Q11" s="383"/>
      <c r="R11" s="383"/>
      <c r="S11" s="384"/>
      <c r="T11" s="382"/>
      <c r="U11" s="383"/>
      <c r="V11" s="383"/>
      <c r="W11" s="383"/>
      <c r="X11" s="383"/>
      <c r="Y11" s="384"/>
      <c r="Z11" s="382"/>
      <c r="AA11" s="383"/>
      <c r="AB11" s="383"/>
      <c r="AC11" s="383"/>
      <c r="AD11" s="383"/>
      <c r="AE11" s="384"/>
      <c r="AF11" s="382"/>
      <c r="AG11" s="383"/>
      <c r="AH11" s="383"/>
      <c r="AI11" s="383"/>
      <c r="AJ11" s="383"/>
      <c r="AK11" s="384"/>
      <c r="AL11" s="373"/>
      <c r="AM11" s="374"/>
      <c r="AN11" s="374"/>
      <c r="AO11" s="374"/>
      <c r="AP11" s="374"/>
      <c r="AQ11" s="375"/>
      <c r="AR11" s="92"/>
      <c r="AS11" s="400"/>
      <c r="AT11" s="401"/>
      <c r="AU11" s="401"/>
      <c r="AV11" s="401"/>
      <c r="AW11" s="401"/>
      <c r="AX11" s="40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row>
    <row r="12" spans="5:103" ht="15" customHeight="1">
      <c r="E12" s="92"/>
      <c r="F12" s="417"/>
      <c r="G12" s="417"/>
      <c r="H12" s="418"/>
      <c r="I12" s="327"/>
      <c r="J12" s="328"/>
      <c r="K12" s="328"/>
      <c r="L12" s="328"/>
      <c r="M12" s="329"/>
      <c r="N12" s="382"/>
      <c r="O12" s="383"/>
      <c r="P12" s="383"/>
      <c r="Q12" s="383"/>
      <c r="R12" s="383"/>
      <c r="S12" s="384"/>
      <c r="T12" s="382" t="str">
        <f>IF(AND('[2]Mapa final'!$H$66="Muy Alta",'[2]Mapa final'!$L$66="Menor"),CONCATENATE("R",'[2]Mapa final'!$A$66),"")</f>
        <v/>
      </c>
      <c r="U12" s="383"/>
      <c r="V12" s="383" t="e">
        <f>IF(AND('[2]Mapa final'!$H$72="Muy Alta",'[2]Mapa final'!$L$72="Menor"),CONCATENATE("R",'[2]Mapa final'!#REF!),"")</f>
        <v>#REF!</v>
      </c>
      <c r="W12" s="383"/>
      <c r="X12" s="383" t="e">
        <f>IF(AND('[2]Mapa final'!$H$79="Muy Alta",'[2]Mapa final'!$L$79="Menor"),CONCATENATE("R",'[2]Mapa final'!$A$79),"")</f>
        <v>#REF!</v>
      </c>
      <c r="Y12" s="384"/>
      <c r="Z12" s="382" t="str">
        <f>IF(AND('[2]Mapa final'!$H$66="Muy Alta",'[2]Mapa final'!$L$66="Moderado"),CONCATENATE("R",'[2]Mapa final'!$A$66),"")</f>
        <v/>
      </c>
      <c r="AA12" s="383"/>
      <c r="AB12" s="383" t="e">
        <f>IF(AND('[2]Mapa final'!$H$72="Muy Alta",'[2]Mapa final'!$L$72="Moderado"),CONCATENATE("R",'[2]Mapa final'!#REF!),"")</f>
        <v>#REF!</v>
      </c>
      <c r="AC12" s="383"/>
      <c r="AD12" s="383" t="e">
        <f>IF(AND('[2]Mapa final'!$H$79="Muy Alta",'[2]Mapa final'!$L$79="Moderado"),CONCATENATE("R",'[2]Mapa final'!$A$79),"")</f>
        <v>#REF!</v>
      </c>
      <c r="AE12" s="384"/>
      <c r="AF12" s="382" t="str">
        <f>IF(AND('[2]Mapa final'!$H$66="Muy Alta",'[2]Mapa final'!$L$66="Mayor"),CONCATENATE("R",'[2]Mapa final'!$A$66),"")</f>
        <v/>
      </c>
      <c r="AG12" s="383"/>
      <c r="AH12" s="383" t="e">
        <f>IF(AND('[2]Mapa final'!$H$72="Muy Alta",'[2]Mapa final'!$L$72="Mayor"),CONCATENATE("R",'[2]Mapa final'!#REF!),"")</f>
        <v>#REF!</v>
      </c>
      <c r="AI12" s="383"/>
      <c r="AJ12" s="383" t="e">
        <f>IF(AND('[2]Mapa final'!$H$79="Muy Alta",'[2]Mapa final'!$L$79="Mayor"),CONCATENATE("R",'[2]Mapa final'!$A$79),"")</f>
        <v>#REF!</v>
      </c>
      <c r="AK12" s="384"/>
      <c r="AL12" s="373"/>
      <c r="AM12" s="374"/>
      <c r="AN12" s="374"/>
      <c r="AO12" s="374"/>
      <c r="AP12" s="374"/>
      <c r="AQ12" s="375"/>
      <c r="AR12" s="92"/>
      <c r="AS12" s="400"/>
      <c r="AT12" s="401"/>
      <c r="AU12" s="401"/>
      <c r="AV12" s="401"/>
      <c r="AW12" s="401"/>
      <c r="AX12" s="40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row>
    <row r="13" spans="5:103" ht="15.75" customHeight="1" thickBot="1">
      <c r="E13" s="92"/>
      <c r="F13" s="417"/>
      <c r="G13" s="417"/>
      <c r="H13" s="418"/>
      <c r="I13" s="330"/>
      <c r="J13" s="331"/>
      <c r="K13" s="331"/>
      <c r="L13" s="331"/>
      <c r="M13" s="332"/>
      <c r="N13" s="385"/>
      <c r="O13" s="386"/>
      <c r="P13" s="386"/>
      <c r="Q13" s="386"/>
      <c r="R13" s="386"/>
      <c r="S13" s="387"/>
      <c r="T13" s="385"/>
      <c r="U13" s="386"/>
      <c r="V13" s="386"/>
      <c r="W13" s="386"/>
      <c r="X13" s="386"/>
      <c r="Y13" s="387"/>
      <c r="Z13" s="385"/>
      <c r="AA13" s="386"/>
      <c r="AB13" s="386"/>
      <c r="AC13" s="386"/>
      <c r="AD13" s="386"/>
      <c r="AE13" s="387"/>
      <c r="AF13" s="385"/>
      <c r="AG13" s="386"/>
      <c r="AH13" s="386"/>
      <c r="AI13" s="386"/>
      <c r="AJ13" s="386"/>
      <c r="AK13" s="387"/>
      <c r="AL13" s="376"/>
      <c r="AM13" s="377"/>
      <c r="AN13" s="377"/>
      <c r="AO13" s="377"/>
      <c r="AP13" s="377"/>
      <c r="AQ13" s="378"/>
      <c r="AR13" s="92"/>
      <c r="AS13" s="403"/>
      <c r="AT13" s="404"/>
      <c r="AU13" s="404"/>
      <c r="AV13" s="404"/>
      <c r="AW13" s="404"/>
      <c r="AX13" s="405"/>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row>
    <row r="14" spans="5:103" ht="15" customHeight="1">
      <c r="E14" s="92"/>
      <c r="F14" s="417"/>
      <c r="G14" s="417"/>
      <c r="H14" s="418"/>
      <c r="I14" s="324" t="s">
        <v>521</v>
      </c>
      <c r="J14" s="325"/>
      <c r="K14" s="325"/>
      <c r="L14" s="325"/>
      <c r="M14" s="325"/>
      <c r="N14" s="334" t="str">
        <f>IF(AND('[2]Mapa final'!$H$12="Alta",'[2]Mapa final'!$L$12="Leve"),CONCATENATE("R",'[2]Mapa final'!$A$12),"")</f>
        <v/>
      </c>
      <c r="O14" s="335"/>
      <c r="P14" s="335"/>
      <c r="Q14" s="335"/>
      <c r="R14" s="335"/>
      <c r="S14" s="336"/>
      <c r="T14" s="334" t="str">
        <f>IF(AND('[2]Mapa final'!$H$12="Alta",'[2]Mapa final'!$L$12="Menor"),CONCATENATE("R",'[2]Mapa final'!$A$12),"")</f>
        <v/>
      </c>
      <c r="U14" s="335"/>
      <c r="V14" s="335" t="str">
        <f>IF(AND('[2]Mapa final'!$H$18="Alta",'[2]Mapa final'!$L$18="Menor"),CONCATENATE("R",'[2]Mapa final'!$A$18),"")</f>
        <v/>
      </c>
      <c r="W14" s="335"/>
      <c r="X14" s="335" t="str">
        <f>IF(AND('[2]Mapa final'!$H$24="Alta",'[2]Mapa final'!$L$24="Menor"),CONCATENATE("R",'[2]Mapa final'!$A$24),"")</f>
        <v/>
      </c>
      <c r="Y14" s="336"/>
      <c r="Z14" s="379" t="str">
        <f>IF(AND('[2]Mapa final'!$H$12="Alta",'[2]Mapa final'!$L$12="Moderado"),CONCATENATE("R",'[2]Mapa final'!$A$12),"")</f>
        <v/>
      </c>
      <c r="AA14" s="380"/>
      <c r="AB14" s="380" t="str">
        <f>IF(AND('[2]Mapa final'!$H$18="Alta",'[2]Mapa final'!$L$18="Moderado"),CONCATENATE("R",'[2]Mapa final'!$A$18),"")</f>
        <v/>
      </c>
      <c r="AC14" s="380"/>
      <c r="AD14" s="380" t="str">
        <f>IF(AND('[2]Mapa final'!$H$24="Alta",'[2]Mapa final'!$L$24="Moderado"),CONCATENATE("R",'[2]Mapa final'!$A$24),"")</f>
        <v/>
      </c>
      <c r="AE14" s="381"/>
      <c r="AF14" s="379"/>
      <c r="AG14" s="380"/>
      <c r="AH14" s="380"/>
      <c r="AI14" s="380"/>
      <c r="AJ14" s="380"/>
      <c r="AK14" s="381"/>
      <c r="AL14" s="370" t="str">
        <f>IF(AND('[2]Mapa final'!$H$12="Alta",'[2]Mapa final'!$L$12="Catastrófico"),CONCATENATE("R",'[2]Mapa final'!$A$12),"")</f>
        <v/>
      </c>
      <c r="AM14" s="371"/>
      <c r="AN14" s="371" t="str">
        <f>IF(AND('[2]Mapa final'!$H$18="Alta",'[2]Mapa final'!$L$18="Catastrófico"),CONCATENATE("R",'[2]Mapa final'!$A$18),"")</f>
        <v/>
      </c>
      <c r="AO14" s="371"/>
      <c r="AP14" s="371" t="str">
        <f>IF(AND('[2]Mapa final'!$H$24="Alta",'[2]Mapa final'!$L$24="Catastrófico"),CONCATENATE("R",'[2]Mapa final'!$A$24),"")</f>
        <v/>
      </c>
      <c r="AQ14" s="372"/>
      <c r="AR14" s="92"/>
      <c r="AS14" s="406" t="s">
        <v>522</v>
      </c>
      <c r="AT14" s="407"/>
      <c r="AU14" s="407"/>
      <c r="AV14" s="407"/>
      <c r="AW14" s="407"/>
      <c r="AX14" s="408"/>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row>
    <row r="15" spans="5:103" ht="15" customHeight="1">
      <c r="E15" s="92"/>
      <c r="F15" s="417"/>
      <c r="G15" s="417"/>
      <c r="H15" s="418"/>
      <c r="I15" s="327"/>
      <c r="J15" s="328"/>
      <c r="K15" s="328"/>
      <c r="L15" s="328"/>
      <c r="M15" s="328"/>
      <c r="N15" s="337"/>
      <c r="O15" s="338"/>
      <c r="P15" s="338"/>
      <c r="Q15" s="338"/>
      <c r="R15" s="338"/>
      <c r="S15" s="339"/>
      <c r="T15" s="337"/>
      <c r="U15" s="338"/>
      <c r="V15" s="338"/>
      <c r="W15" s="338"/>
      <c r="X15" s="338"/>
      <c r="Y15" s="339"/>
      <c r="Z15" s="382"/>
      <c r="AA15" s="383"/>
      <c r="AB15" s="383"/>
      <c r="AC15" s="383"/>
      <c r="AD15" s="383"/>
      <c r="AE15" s="384"/>
      <c r="AF15" s="382"/>
      <c r="AG15" s="383"/>
      <c r="AH15" s="383"/>
      <c r="AI15" s="383"/>
      <c r="AJ15" s="383"/>
      <c r="AK15" s="384"/>
      <c r="AL15" s="373"/>
      <c r="AM15" s="374"/>
      <c r="AN15" s="374"/>
      <c r="AO15" s="374"/>
      <c r="AP15" s="374"/>
      <c r="AQ15" s="375"/>
      <c r="AR15" s="92"/>
      <c r="AS15" s="409"/>
      <c r="AT15" s="410"/>
      <c r="AU15" s="410"/>
      <c r="AV15" s="410"/>
      <c r="AW15" s="410"/>
      <c r="AX15" s="411"/>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row>
    <row r="16" spans="5:103" ht="15" customHeight="1">
      <c r="E16" s="92"/>
      <c r="F16" s="417"/>
      <c r="G16" s="417"/>
      <c r="H16" s="418"/>
      <c r="I16" s="327"/>
      <c r="J16" s="328"/>
      <c r="K16" s="328"/>
      <c r="L16" s="328"/>
      <c r="M16" s="328"/>
      <c r="N16" s="337"/>
      <c r="O16" s="338"/>
      <c r="P16" s="338"/>
      <c r="Q16" s="338"/>
      <c r="R16" s="338"/>
      <c r="S16" s="339"/>
      <c r="T16" s="337" t="str">
        <f>IF(AND('[2]Mapa final'!$H$30="Alta",'[2]Mapa final'!$L$30="Menor"),CONCATENATE("R",'[2]Mapa final'!$A$30),"")</f>
        <v/>
      </c>
      <c r="U16" s="338"/>
      <c r="V16" s="338" t="str">
        <f>IF(AND('[2]Mapa final'!$H$36="Alta",'[2]Mapa final'!$L$36="Menor"),CONCATENATE("R",'[2]Mapa final'!$A$36),"")</f>
        <v/>
      </c>
      <c r="W16" s="338"/>
      <c r="X16" s="338" t="str">
        <f>IF(AND('[2]Mapa final'!$H$42="Alta",'[2]Mapa final'!$L$42="Menor"),CONCATENATE("R",'[2]Mapa final'!$A$42),"")</f>
        <v/>
      </c>
      <c r="Y16" s="339"/>
      <c r="Z16" s="382" t="str">
        <f>IF(AND('[2]Mapa final'!$H$30="Alta",'[2]Mapa final'!$L$30="Moderado"),CONCATENATE("R",'[2]Mapa final'!$A$30),"")</f>
        <v/>
      </c>
      <c r="AA16" s="383"/>
      <c r="AB16" s="383" t="str">
        <f>IF(AND('[2]Mapa final'!$H$36="Alta",'[2]Mapa final'!$L$36="Moderado"),CONCATENATE("R",'[2]Mapa final'!$A$36),"")</f>
        <v/>
      </c>
      <c r="AC16" s="383"/>
      <c r="AD16" s="383" t="str">
        <f>IF(AND('[2]Mapa final'!$H$42="Alta",'[2]Mapa final'!$L$42="Moderado"),CONCATENATE("R",'[2]Mapa final'!$A$42),"")</f>
        <v/>
      </c>
      <c r="AE16" s="384"/>
      <c r="AF16" s="382"/>
      <c r="AG16" s="383"/>
      <c r="AH16" s="383"/>
      <c r="AI16" s="383"/>
      <c r="AJ16" s="383"/>
      <c r="AK16" s="384"/>
      <c r="AL16" s="373" t="str">
        <f>IF(AND('[2]Mapa final'!$H$30="Alta",'[2]Mapa final'!$L$30="Catastrófico"),CONCATENATE("R",'[2]Mapa final'!$A$30),"")</f>
        <v/>
      </c>
      <c r="AM16" s="374"/>
      <c r="AN16" s="374" t="str">
        <f>IF(AND('[2]Mapa final'!$H$36="Alta",'[2]Mapa final'!$L$36="Catastrófico"),CONCATENATE("R",'[2]Mapa final'!$A$36),"")</f>
        <v/>
      </c>
      <c r="AO16" s="374"/>
      <c r="AP16" s="374" t="str">
        <f>IF(AND('[2]Mapa final'!$H$42="Alta",'[2]Mapa final'!$L$42="Catastrófico"),CONCATENATE("R",'[2]Mapa final'!$A$42),"")</f>
        <v/>
      </c>
      <c r="AQ16" s="375"/>
      <c r="AR16" s="92"/>
      <c r="AS16" s="409"/>
      <c r="AT16" s="410"/>
      <c r="AU16" s="410"/>
      <c r="AV16" s="410"/>
      <c r="AW16" s="410"/>
      <c r="AX16" s="411"/>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row>
    <row r="17" spans="5:84" ht="15" customHeight="1">
      <c r="E17" s="92"/>
      <c r="F17" s="417"/>
      <c r="G17" s="417"/>
      <c r="H17" s="418"/>
      <c r="I17" s="327"/>
      <c r="J17" s="328"/>
      <c r="K17" s="328"/>
      <c r="L17" s="328"/>
      <c r="M17" s="328"/>
      <c r="N17" s="337"/>
      <c r="O17" s="338"/>
      <c r="P17" s="338"/>
      <c r="Q17" s="338"/>
      <c r="R17" s="338"/>
      <c r="S17" s="339"/>
      <c r="T17" s="337"/>
      <c r="U17" s="338"/>
      <c r="V17" s="338"/>
      <c r="W17" s="338"/>
      <c r="X17" s="338"/>
      <c r="Y17" s="339"/>
      <c r="Z17" s="382"/>
      <c r="AA17" s="383"/>
      <c r="AB17" s="383"/>
      <c r="AC17" s="383"/>
      <c r="AD17" s="383"/>
      <c r="AE17" s="384"/>
      <c r="AF17" s="382"/>
      <c r="AG17" s="383"/>
      <c r="AH17" s="383"/>
      <c r="AI17" s="383"/>
      <c r="AJ17" s="383"/>
      <c r="AK17" s="384"/>
      <c r="AL17" s="373"/>
      <c r="AM17" s="374"/>
      <c r="AN17" s="374"/>
      <c r="AO17" s="374"/>
      <c r="AP17" s="374"/>
      <c r="AQ17" s="375"/>
      <c r="AR17" s="92"/>
      <c r="AS17" s="409"/>
      <c r="AT17" s="410"/>
      <c r="AU17" s="410"/>
      <c r="AV17" s="410"/>
      <c r="AW17" s="410"/>
      <c r="AX17" s="411"/>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row>
    <row r="18" spans="5:84" ht="15" customHeight="1">
      <c r="E18" s="92"/>
      <c r="F18" s="417"/>
      <c r="G18" s="417"/>
      <c r="H18" s="418"/>
      <c r="I18" s="327"/>
      <c r="J18" s="328"/>
      <c r="K18" s="328"/>
      <c r="L18" s="328"/>
      <c r="M18" s="328"/>
      <c r="N18" s="337"/>
      <c r="O18" s="338"/>
      <c r="P18" s="338"/>
      <c r="Q18" s="338"/>
      <c r="R18" s="338"/>
      <c r="S18" s="339"/>
      <c r="T18" s="337" t="str">
        <f>IF(AND('[2]Mapa final'!$H$48="Alta",'[2]Mapa final'!$L$48="Menor"),CONCATENATE("R",'[2]Mapa final'!$A$48),"")</f>
        <v/>
      </c>
      <c r="U18" s="338"/>
      <c r="V18" s="338" t="str">
        <f>IF(AND('[2]Mapa final'!$H$54="Alta",'[2]Mapa final'!$L$54="Menor"),CONCATENATE("R",'[2]Mapa final'!$A$54),"")</f>
        <v/>
      </c>
      <c r="W18" s="338"/>
      <c r="X18" s="338" t="str">
        <f>IF(AND('[2]Mapa final'!$H$60="Alta",'[2]Mapa final'!$L$60="Menor"),CONCATENATE("R",'[2]Mapa final'!$A$60),"")</f>
        <v/>
      </c>
      <c r="Y18" s="339"/>
      <c r="Z18" s="382" t="str">
        <f>IF(AND('[2]Mapa final'!$H$48="Alta",'[2]Mapa final'!$L$48="Moderado"),CONCATENATE("R",'[2]Mapa final'!$A$48),"")</f>
        <v/>
      </c>
      <c r="AA18" s="383"/>
      <c r="AB18" s="383" t="str">
        <f>IF(AND('[2]Mapa final'!$H$54="Alta",'[2]Mapa final'!$L$54="Moderado"),CONCATENATE("R",'[2]Mapa final'!$A$54),"")</f>
        <v/>
      </c>
      <c r="AC18" s="383"/>
      <c r="AD18" s="383" t="str">
        <f>IF(AND('[2]Mapa final'!$H$60="Alta",'[2]Mapa final'!$L$60="Moderado"),CONCATENATE("R",'[2]Mapa final'!$A$60),"")</f>
        <v/>
      </c>
      <c r="AE18" s="384"/>
      <c r="AF18" s="382"/>
      <c r="AG18" s="383"/>
      <c r="AH18" s="383"/>
      <c r="AI18" s="383"/>
      <c r="AJ18" s="383"/>
      <c r="AK18" s="384"/>
      <c r="AL18" s="373" t="str">
        <f>IF(AND('[2]Mapa final'!$H$48="Alta",'[2]Mapa final'!$L$48="Catastrófico"),CONCATENATE("R",'[2]Mapa final'!$A$48),"")</f>
        <v/>
      </c>
      <c r="AM18" s="374"/>
      <c r="AN18" s="374" t="str">
        <f>IF(AND('[2]Mapa final'!$H$54="Alta",'[2]Mapa final'!$L$54="Catastrófico"),CONCATENATE("R",'[2]Mapa final'!$A$54),"")</f>
        <v/>
      </c>
      <c r="AO18" s="374"/>
      <c r="AP18" s="374" t="str">
        <f>IF(AND('[2]Mapa final'!$H$60="Alta",'[2]Mapa final'!$L$60="Catastrófico"),CONCATENATE("R",'[2]Mapa final'!$A$60),"")</f>
        <v/>
      </c>
      <c r="AQ18" s="375"/>
      <c r="AR18" s="92"/>
      <c r="AS18" s="409"/>
      <c r="AT18" s="410"/>
      <c r="AU18" s="410"/>
      <c r="AV18" s="410"/>
      <c r="AW18" s="410"/>
      <c r="AX18" s="411"/>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row>
    <row r="19" spans="5:84" ht="15" customHeight="1">
      <c r="E19" s="92"/>
      <c r="F19" s="417"/>
      <c r="G19" s="417"/>
      <c r="H19" s="418"/>
      <c r="I19" s="327"/>
      <c r="J19" s="328"/>
      <c r="K19" s="328"/>
      <c r="L19" s="328"/>
      <c r="M19" s="328"/>
      <c r="N19" s="337"/>
      <c r="O19" s="338"/>
      <c r="P19" s="338"/>
      <c r="Q19" s="338"/>
      <c r="R19" s="338"/>
      <c r="S19" s="339"/>
      <c r="T19" s="337"/>
      <c r="U19" s="338"/>
      <c r="V19" s="338"/>
      <c r="W19" s="338"/>
      <c r="X19" s="338"/>
      <c r="Y19" s="339"/>
      <c r="Z19" s="382"/>
      <c r="AA19" s="383"/>
      <c r="AB19" s="383"/>
      <c r="AC19" s="383"/>
      <c r="AD19" s="383"/>
      <c r="AE19" s="384"/>
      <c r="AF19" s="382"/>
      <c r="AG19" s="383"/>
      <c r="AH19" s="383"/>
      <c r="AI19" s="383"/>
      <c r="AJ19" s="383"/>
      <c r="AK19" s="384"/>
      <c r="AL19" s="373"/>
      <c r="AM19" s="374"/>
      <c r="AN19" s="374"/>
      <c r="AO19" s="374"/>
      <c r="AP19" s="374"/>
      <c r="AQ19" s="375"/>
      <c r="AR19" s="92"/>
      <c r="AS19" s="409"/>
      <c r="AT19" s="410"/>
      <c r="AU19" s="410"/>
      <c r="AV19" s="410"/>
      <c r="AW19" s="410"/>
      <c r="AX19" s="411"/>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row>
    <row r="20" spans="5:84" ht="15" customHeight="1">
      <c r="E20" s="92"/>
      <c r="F20" s="417"/>
      <c r="G20" s="417"/>
      <c r="H20" s="418"/>
      <c r="I20" s="327"/>
      <c r="J20" s="328"/>
      <c r="K20" s="328"/>
      <c r="L20" s="328"/>
      <c r="M20" s="328"/>
      <c r="N20" s="337"/>
      <c r="O20" s="338"/>
      <c r="P20" s="338"/>
      <c r="Q20" s="338"/>
      <c r="R20" s="338"/>
      <c r="S20" s="339"/>
      <c r="T20" s="337" t="str">
        <f>IF(AND('[2]Mapa final'!$H$66="Alta",'[2]Mapa final'!$L$66="Menor"),CONCATENATE("R",'[2]Mapa final'!$A$66),"")</f>
        <v/>
      </c>
      <c r="U20" s="338"/>
      <c r="V20" s="338" t="e">
        <f>IF(AND('[2]Mapa final'!$H$72="Alta",'[2]Mapa final'!$L$72="Menor"),CONCATENATE("R",'[2]Mapa final'!#REF!),"")</f>
        <v>#REF!</v>
      </c>
      <c r="W20" s="338"/>
      <c r="X20" s="338" t="e">
        <f>IF(AND('[2]Mapa final'!$H$79="Alta",'[2]Mapa final'!$L$79="Menor"),CONCATENATE("R",'[2]Mapa final'!$A$79),"")</f>
        <v>#REF!</v>
      </c>
      <c r="Y20" s="339"/>
      <c r="Z20" s="382" t="str">
        <f>IF(AND('[2]Mapa final'!$H$66="Alta",'[2]Mapa final'!$L$66="Moderado"),CONCATENATE("R",'[2]Mapa final'!$A$66),"")</f>
        <v/>
      </c>
      <c r="AA20" s="383"/>
      <c r="AB20" s="383" t="e">
        <f>IF(AND('[2]Mapa final'!$H$72="Alta",'[2]Mapa final'!$L$72="Moderado"),CONCATENATE("R",'[2]Mapa final'!#REF!),"")</f>
        <v>#REF!</v>
      </c>
      <c r="AC20" s="383"/>
      <c r="AD20" s="383" t="e">
        <f>IF(AND('[2]Mapa final'!$H$79="Alta",'[2]Mapa final'!$L$79="Moderado"),CONCATENATE("R",'[2]Mapa final'!$A$79),"")</f>
        <v>#REF!</v>
      </c>
      <c r="AE20" s="384"/>
      <c r="AF20" s="382"/>
      <c r="AG20" s="383"/>
      <c r="AH20" s="383"/>
      <c r="AI20" s="383"/>
      <c r="AJ20" s="383"/>
      <c r="AK20" s="384"/>
      <c r="AL20" s="373" t="str">
        <f>IF(AND('[2]Mapa final'!$H$66="Alta",'[2]Mapa final'!$L$66="Catastrófico"),CONCATENATE("R",'[2]Mapa final'!$A$66),"")</f>
        <v/>
      </c>
      <c r="AM20" s="374"/>
      <c r="AN20" s="374" t="e">
        <f>IF(AND('[2]Mapa final'!$H$72="Alta",'[2]Mapa final'!$L$72="Catastrófico"),CONCATENATE("R",'[2]Mapa final'!#REF!),"")</f>
        <v>#REF!</v>
      </c>
      <c r="AO20" s="374"/>
      <c r="AP20" s="374" t="e">
        <f>IF(AND('[2]Mapa final'!$H$79="Alta",'[2]Mapa final'!$L$79="Catastrófico"),CONCATENATE("R",'[2]Mapa final'!$A$79),"")</f>
        <v>#REF!</v>
      </c>
      <c r="AQ20" s="375"/>
      <c r="AR20" s="92"/>
      <c r="AS20" s="409"/>
      <c r="AT20" s="410"/>
      <c r="AU20" s="410"/>
      <c r="AV20" s="410"/>
      <c r="AW20" s="410"/>
      <c r="AX20" s="411"/>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row>
    <row r="21" spans="5:84" ht="15.75" customHeight="1" thickBot="1">
      <c r="E21" s="92"/>
      <c r="F21" s="417"/>
      <c r="G21" s="417"/>
      <c r="H21" s="418"/>
      <c r="I21" s="330"/>
      <c r="J21" s="331"/>
      <c r="K21" s="331"/>
      <c r="L21" s="331"/>
      <c r="M21" s="331"/>
      <c r="N21" s="340"/>
      <c r="O21" s="341"/>
      <c r="P21" s="341"/>
      <c r="Q21" s="341"/>
      <c r="R21" s="341"/>
      <c r="S21" s="342"/>
      <c r="T21" s="340"/>
      <c r="U21" s="341"/>
      <c r="V21" s="341"/>
      <c r="W21" s="341"/>
      <c r="X21" s="341"/>
      <c r="Y21" s="342"/>
      <c r="Z21" s="385"/>
      <c r="AA21" s="386"/>
      <c r="AB21" s="386"/>
      <c r="AC21" s="386"/>
      <c r="AD21" s="386"/>
      <c r="AE21" s="387"/>
      <c r="AF21" s="385"/>
      <c r="AG21" s="386"/>
      <c r="AH21" s="386"/>
      <c r="AI21" s="386"/>
      <c r="AJ21" s="386"/>
      <c r="AK21" s="387"/>
      <c r="AL21" s="376"/>
      <c r="AM21" s="377"/>
      <c r="AN21" s="377"/>
      <c r="AO21" s="377"/>
      <c r="AP21" s="377"/>
      <c r="AQ21" s="378"/>
      <c r="AR21" s="92"/>
      <c r="AS21" s="412"/>
      <c r="AT21" s="413"/>
      <c r="AU21" s="413"/>
      <c r="AV21" s="413"/>
      <c r="AW21" s="413"/>
      <c r="AX21" s="414"/>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row>
    <row r="22" spans="5:84" ht="14.1" customHeight="1">
      <c r="E22" s="92"/>
      <c r="F22" s="417"/>
      <c r="G22" s="417"/>
      <c r="H22" s="418"/>
      <c r="I22" s="324" t="s">
        <v>523</v>
      </c>
      <c r="J22" s="325"/>
      <c r="K22" s="325"/>
      <c r="L22" s="325"/>
      <c r="M22" s="326"/>
      <c r="N22" s="146"/>
      <c r="O22" s="147"/>
      <c r="P22" s="147"/>
      <c r="Q22" s="147"/>
      <c r="R22" s="147"/>
      <c r="S22" s="149"/>
      <c r="T22" s="334" t="str">
        <f>IF(AND('[2]Mapa final'!$H$12="Media",'[2]Mapa final'!$L$12="Menor"),CONCATENATE("R",'[2]Mapa final'!$A$12),"")</f>
        <v/>
      </c>
      <c r="U22" s="335"/>
      <c r="V22" s="335" t="str">
        <f>IF(AND('[2]Mapa final'!$H$18="Media",'[2]Mapa final'!$L$18="Menor"),CONCATENATE("R",'[2]Mapa final'!$A$18),"")</f>
        <v/>
      </c>
      <c r="W22" s="335"/>
      <c r="X22" s="335" t="str">
        <f>IF(AND('[2]Mapa final'!$H$24="Media",'[2]Mapa final'!$L$24="Menor"),CONCATENATE("R",'[2]Mapa final'!$A$24),"")</f>
        <v/>
      </c>
      <c r="Y22" s="336"/>
      <c r="Z22" s="334" t="str">
        <f>IF(AND('[2]Mapa final'!$H$12="Media",'[2]Mapa final'!$L$12="Moderado"),CONCATENATE("R",'[2]Mapa final'!$A$12),"")</f>
        <v/>
      </c>
      <c r="AA22" s="335"/>
      <c r="AB22" s="335" t="str">
        <f>IF(AND('[2]Mapa final'!$H$18="Media",'[2]Mapa final'!$L$18="Moderado"),CONCATENATE("R",'[2]Mapa final'!$A$18),"")</f>
        <v/>
      </c>
      <c r="AC22" s="335"/>
      <c r="AD22" s="335" t="str">
        <f>IF(AND('[2]Mapa final'!$H$24="Media",'[2]Mapa final'!$L$24="Moderado"),CONCATENATE("R",'[2]Mapa final'!$A$24),"")</f>
        <v/>
      </c>
      <c r="AE22" s="336"/>
      <c r="AF22" s="379"/>
      <c r="AG22" s="380"/>
      <c r="AH22" s="380"/>
      <c r="AI22" s="380"/>
      <c r="AJ22" s="380"/>
      <c r="AK22" s="381"/>
      <c r="AL22" s="370" t="str">
        <f>IF(AND('[2]Mapa final'!$H$12="Media",'[2]Mapa final'!$L$12="Catastrófico"),CONCATENATE("R",'[2]Mapa final'!$A$12),"")</f>
        <v/>
      </c>
      <c r="AM22" s="371"/>
      <c r="AN22" s="371" t="str">
        <f>IF(AND('[2]Mapa final'!$H$18="Media",'[2]Mapa final'!$L$18="Catastrófico"),CONCATENATE("R",'[2]Mapa final'!$A$18),"")</f>
        <v/>
      </c>
      <c r="AO22" s="371"/>
      <c r="AP22" s="371" t="str">
        <f>IF(AND('[2]Mapa final'!$H$24="Media",'[2]Mapa final'!$L$24="Catastrófico"),CONCATENATE("R",'[2]Mapa final'!$A$24),"")</f>
        <v/>
      </c>
      <c r="AQ22" s="372"/>
      <c r="AR22" s="92"/>
      <c r="AS22" s="361" t="s">
        <v>524</v>
      </c>
      <c r="AT22" s="362"/>
      <c r="AU22" s="362"/>
      <c r="AV22" s="362"/>
      <c r="AW22" s="362"/>
      <c r="AX22" s="363"/>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row>
    <row r="23" spans="5:84" ht="14.1" customHeight="1">
      <c r="E23" s="92"/>
      <c r="F23" s="417"/>
      <c r="G23" s="417"/>
      <c r="H23" s="418"/>
      <c r="I23" s="327"/>
      <c r="J23" s="328"/>
      <c r="K23" s="328"/>
      <c r="L23" s="328"/>
      <c r="M23" s="329"/>
      <c r="N23" s="148"/>
      <c r="O23" s="154"/>
      <c r="P23" s="154"/>
      <c r="Q23" s="154"/>
      <c r="R23" s="154"/>
      <c r="S23" s="150"/>
      <c r="T23" s="337"/>
      <c r="U23" s="338"/>
      <c r="V23" s="338"/>
      <c r="W23" s="338"/>
      <c r="X23" s="338"/>
      <c r="Y23" s="339"/>
      <c r="Z23" s="337"/>
      <c r="AA23" s="338"/>
      <c r="AB23" s="338"/>
      <c r="AC23" s="338"/>
      <c r="AD23" s="338"/>
      <c r="AE23" s="339"/>
      <c r="AF23" s="382"/>
      <c r="AG23" s="383"/>
      <c r="AH23" s="383"/>
      <c r="AI23" s="383"/>
      <c r="AJ23" s="383"/>
      <c r="AK23" s="384"/>
      <c r="AL23" s="373"/>
      <c r="AM23" s="374"/>
      <c r="AN23" s="374"/>
      <c r="AO23" s="374"/>
      <c r="AP23" s="374"/>
      <c r="AQ23" s="375"/>
      <c r="AR23" s="92"/>
      <c r="AS23" s="364"/>
      <c r="AT23" s="365"/>
      <c r="AU23" s="365"/>
      <c r="AV23" s="365"/>
      <c r="AW23" s="365"/>
      <c r="AX23" s="366"/>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row>
    <row r="24" spans="5:84" ht="14.1" customHeight="1">
      <c r="E24" s="92"/>
      <c r="F24" s="417"/>
      <c r="G24" s="417"/>
      <c r="H24" s="418"/>
      <c r="I24" s="327"/>
      <c r="J24" s="328"/>
      <c r="K24" s="328"/>
      <c r="L24" s="328"/>
      <c r="M24" s="329"/>
      <c r="N24" s="148"/>
      <c r="O24" s="154"/>
      <c r="P24" s="154"/>
      <c r="Q24" s="154"/>
      <c r="R24" s="154"/>
      <c r="S24" s="150"/>
      <c r="T24" s="337" t="str">
        <f>IF(AND('[2]Mapa final'!$H$30="Media",'[2]Mapa final'!$L$30="Menor"),CONCATENATE("R",'[2]Mapa final'!$A$30),"")</f>
        <v/>
      </c>
      <c r="U24" s="338"/>
      <c r="V24" s="338" t="str">
        <f>IF(AND('[2]Mapa final'!$H$36="Media",'[2]Mapa final'!$L$36="Menor"),CONCATENATE("R",'[2]Mapa final'!$A$36),"")</f>
        <v/>
      </c>
      <c r="W24" s="338"/>
      <c r="X24" s="338" t="str">
        <f>IF(AND('[2]Mapa final'!$H$42="Media",'[2]Mapa final'!$L$42="Menor"),CONCATENATE("R",'[2]Mapa final'!$A$42),"")</f>
        <v/>
      </c>
      <c r="Y24" s="339"/>
      <c r="Z24" s="337" t="str">
        <f>IF(AND('[2]Mapa final'!$H$30="Media",'[2]Mapa final'!$L$30="Moderado"),CONCATENATE("R",'[2]Mapa final'!$A$30),"")</f>
        <v/>
      </c>
      <c r="AA24" s="338"/>
      <c r="AB24" s="338" t="str">
        <f>IF(AND('[2]Mapa final'!$H$36="Media",'[2]Mapa final'!$L$36="Moderado"),CONCATENATE("R",'[2]Mapa final'!$A$36),"")</f>
        <v/>
      </c>
      <c r="AC24" s="338"/>
      <c r="AD24" s="338" t="str">
        <f>IF(AND('[2]Mapa final'!$H$42="Media",'[2]Mapa final'!$L$42="Moderado"),CONCATENATE("R",'[2]Mapa final'!$A$42),"")</f>
        <v/>
      </c>
      <c r="AE24" s="339"/>
      <c r="AF24" s="382"/>
      <c r="AG24" s="383"/>
      <c r="AH24" s="383"/>
      <c r="AI24" s="383"/>
      <c r="AJ24" s="383"/>
      <c r="AK24" s="384"/>
      <c r="AL24" s="373" t="str">
        <f>IF(AND('[2]Mapa final'!$H$30="Media",'[2]Mapa final'!$L$30="Catastrófico"),CONCATENATE("R",'[2]Mapa final'!$A$30),"")</f>
        <v/>
      </c>
      <c r="AM24" s="374"/>
      <c r="AN24" s="374" t="str">
        <f>IF(AND('[2]Mapa final'!$H$36="Media",'[2]Mapa final'!$L$36="Catastrófico"),CONCATENATE("R",'[2]Mapa final'!$A$36),"")</f>
        <v/>
      </c>
      <c r="AO24" s="374"/>
      <c r="AP24" s="374" t="str">
        <f>IF(AND('[2]Mapa final'!$H$42="Media",'[2]Mapa final'!$L$42="Catastrófico"),CONCATENATE("R",'[2]Mapa final'!$A$42),"")</f>
        <v/>
      </c>
      <c r="AQ24" s="375"/>
      <c r="AR24" s="92"/>
      <c r="AS24" s="364"/>
      <c r="AT24" s="365"/>
      <c r="AU24" s="365"/>
      <c r="AV24" s="365"/>
      <c r="AW24" s="365"/>
      <c r="AX24" s="366"/>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row>
    <row r="25" spans="5:84" ht="14.1" customHeight="1">
      <c r="E25" s="92"/>
      <c r="F25" s="417"/>
      <c r="G25" s="417"/>
      <c r="H25" s="418"/>
      <c r="I25" s="327"/>
      <c r="J25" s="328"/>
      <c r="K25" s="328"/>
      <c r="L25" s="328"/>
      <c r="M25" s="329"/>
      <c r="N25" s="148"/>
      <c r="O25" s="154"/>
      <c r="P25" s="154"/>
      <c r="Q25" s="154"/>
      <c r="R25" s="154"/>
      <c r="S25" s="150"/>
      <c r="T25" s="337"/>
      <c r="U25" s="338"/>
      <c r="V25" s="338"/>
      <c r="W25" s="338"/>
      <c r="X25" s="338"/>
      <c r="Y25" s="339"/>
      <c r="Z25" s="337"/>
      <c r="AA25" s="338"/>
      <c r="AB25" s="338"/>
      <c r="AC25" s="338"/>
      <c r="AD25" s="338"/>
      <c r="AE25" s="339"/>
      <c r="AF25" s="382"/>
      <c r="AG25" s="383"/>
      <c r="AH25" s="383"/>
      <c r="AI25" s="383"/>
      <c r="AJ25" s="383"/>
      <c r="AK25" s="384"/>
      <c r="AL25" s="373"/>
      <c r="AM25" s="374"/>
      <c r="AN25" s="374"/>
      <c r="AO25" s="374"/>
      <c r="AP25" s="374"/>
      <c r="AQ25" s="375"/>
      <c r="AR25" s="92"/>
      <c r="AS25" s="364"/>
      <c r="AT25" s="365"/>
      <c r="AU25" s="365"/>
      <c r="AV25" s="365"/>
      <c r="AW25" s="365"/>
      <c r="AX25" s="366"/>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row>
    <row r="26" spans="5:84" ht="14.1" customHeight="1">
      <c r="E26" s="92"/>
      <c r="F26" s="417"/>
      <c r="G26" s="417"/>
      <c r="H26" s="418"/>
      <c r="I26" s="327"/>
      <c r="J26" s="328"/>
      <c r="K26" s="328"/>
      <c r="L26" s="328"/>
      <c r="M26" s="329"/>
      <c r="N26" s="148"/>
      <c r="O26" s="154"/>
      <c r="P26" s="154"/>
      <c r="Q26" s="154"/>
      <c r="R26" s="154"/>
      <c r="S26" s="150"/>
      <c r="T26" s="337" t="str">
        <f>IF(AND('[2]Mapa final'!$H$48="Media",'[2]Mapa final'!$L$48="Menor"),CONCATENATE("R",'[2]Mapa final'!$A$48),"")</f>
        <v/>
      </c>
      <c r="U26" s="338"/>
      <c r="V26" s="338" t="str">
        <f>IF(AND('[2]Mapa final'!$H$54="Media",'[2]Mapa final'!$L$54="Menor"),CONCATENATE("R",'[2]Mapa final'!$A$54),"")</f>
        <v/>
      </c>
      <c r="W26" s="338"/>
      <c r="X26" s="338" t="str">
        <f>IF(AND('[2]Mapa final'!$H$60="Media",'[2]Mapa final'!$L$60="Menor"),CONCATENATE("R",'[2]Mapa final'!$A$60),"")</f>
        <v/>
      </c>
      <c r="Y26" s="339"/>
      <c r="Z26" s="337" t="str">
        <f>IF(AND('[2]Mapa final'!$H$48="Media",'[2]Mapa final'!$L$48="Moderado"),CONCATENATE("R",'[2]Mapa final'!$A$48),"")</f>
        <v/>
      </c>
      <c r="AA26" s="338"/>
      <c r="AB26" s="338" t="str">
        <f>IF(AND('[2]Mapa final'!$H$54="Media",'[2]Mapa final'!$L$54="Moderado"),CONCATENATE("R",'[2]Mapa final'!$A$54),"")</f>
        <v/>
      </c>
      <c r="AC26" s="338"/>
      <c r="AD26" s="338" t="str">
        <f>IF(AND('[2]Mapa final'!$H$60="Media",'[2]Mapa final'!$L$60="Moderado"),CONCATENATE("R",'[2]Mapa final'!$A$60),"")</f>
        <v/>
      </c>
      <c r="AE26" s="339"/>
      <c r="AF26" s="382"/>
      <c r="AG26" s="383"/>
      <c r="AH26" s="383"/>
      <c r="AI26" s="383"/>
      <c r="AJ26" s="383"/>
      <c r="AK26" s="384"/>
      <c r="AL26" s="373" t="str">
        <f>IF(AND('[2]Mapa final'!$H$48="Media",'[2]Mapa final'!$L$48="Catastrófico"),CONCATENATE("R",'[2]Mapa final'!$A$48),"")</f>
        <v/>
      </c>
      <c r="AM26" s="374"/>
      <c r="AN26" s="374" t="str">
        <f>IF(AND('[2]Mapa final'!$H$54="Media",'[2]Mapa final'!$L$54="Catastrófico"),CONCATENATE("R",'[2]Mapa final'!$A$54),"")</f>
        <v/>
      </c>
      <c r="AO26" s="374"/>
      <c r="AP26" s="374" t="str">
        <f>IF(AND('[2]Mapa final'!$H$60="Media",'[2]Mapa final'!$L$60="Catastrófico"),CONCATENATE("R",'[2]Mapa final'!$A$60),"")</f>
        <v/>
      </c>
      <c r="AQ26" s="375"/>
      <c r="AR26" s="92"/>
      <c r="AS26" s="364"/>
      <c r="AT26" s="365"/>
      <c r="AU26" s="365"/>
      <c r="AV26" s="365"/>
      <c r="AW26" s="365"/>
      <c r="AX26" s="366"/>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row>
    <row r="27" spans="5:84" ht="14.1" customHeight="1">
      <c r="E27" s="92"/>
      <c r="F27" s="417"/>
      <c r="G27" s="417"/>
      <c r="H27" s="418"/>
      <c r="I27" s="327"/>
      <c r="J27" s="328"/>
      <c r="K27" s="328"/>
      <c r="L27" s="328"/>
      <c r="M27" s="329"/>
      <c r="N27" s="148"/>
      <c r="O27" s="154"/>
      <c r="P27" s="154"/>
      <c r="Q27" s="154"/>
      <c r="R27" s="154"/>
      <c r="S27" s="150"/>
      <c r="T27" s="337"/>
      <c r="U27" s="338"/>
      <c r="V27" s="338"/>
      <c r="W27" s="338"/>
      <c r="X27" s="338"/>
      <c r="Y27" s="339"/>
      <c r="Z27" s="337"/>
      <c r="AA27" s="338"/>
      <c r="AB27" s="338"/>
      <c r="AC27" s="338"/>
      <c r="AD27" s="338"/>
      <c r="AE27" s="339"/>
      <c r="AF27" s="382"/>
      <c r="AG27" s="383"/>
      <c r="AH27" s="383"/>
      <c r="AI27" s="383"/>
      <c r="AJ27" s="383"/>
      <c r="AK27" s="384"/>
      <c r="AL27" s="373"/>
      <c r="AM27" s="374"/>
      <c r="AN27" s="374"/>
      <c r="AO27" s="374"/>
      <c r="AP27" s="374"/>
      <c r="AQ27" s="375"/>
      <c r="AR27" s="92"/>
      <c r="AS27" s="364"/>
      <c r="AT27" s="365"/>
      <c r="AU27" s="365"/>
      <c r="AV27" s="365"/>
      <c r="AW27" s="365"/>
      <c r="AX27" s="366"/>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c r="CB27" s="92"/>
      <c r="CC27" s="92"/>
      <c r="CD27" s="92"/>
      <c r="CE27" s="92"/>
      <c r="CF27" s="92"/>
    </row>
    <row r="28" spans="5:84" ht="14.1" customHeight="1">
      <c r="E28" s="92"/>
      <c r="F28" s="417"/>
      <c r="G28" s="417"/>
      <c r="H28" s="418"/>
      <c r="I28" s="327"/>
      <c r="J28" s="328"/>
      <c r="K28" s="328"/>
      <c r="L28" s="328"/>
      <c r="M28" s="329"/>
      <c r="N28" s="148"/>
      <c r="O28" s="154"/>
      <c r="P28" s="154"/>
      <c r="Q28" s="154"/>
      <c r="R28" s="154"/>
      <c r="S28" s="150"/>
      <c r="T28" s="337" t="str">
        <f>IF(AND('[2]Mapa final'!$H$66="Media",'[2]Mapa final'!$L$66="Menor"),CONCATENATE("R",'[2]Mapa final'!$A$66),"")</f>
        <v/>
      </c>
      <c r="U28" s="338"/>
      <c r="V28" s="338" t="e">
        <f>IF(AND('[2]Mapa final'!$H$72="Media",'[2]Mapa final'!$L$72="Menor"),CONCATENATE("R",'[2]Mapa final'!#REF!),"")</f>
        <v>#REF!</v>
      </c>
      <c r="W28" s="338"/>
      <c r="X28" s="338" t="e">
        <f>IF(AND('[2]Mapa final'!$H$79="Media",'[2]Mapa final'!$L$79="Menor"),CONCATENATE("R",'[2]Mapa final'!$A$79),"")</f>
        <v>#REF!</v>
      </c>
      <c r="Y28" s="339"/>
      <c r="Z28" s="337" t="str">
        <f>IF(AND('[2]Mapa final'!$H$66="Media",'[2]Mapa final'!$L$66="Moderado"),CONCATENATE("R",'[2]Mapa final'!$A$66),"")</f>
        <v/>
      </c>
      <c r="AA28" s="338"/>
      <c r="AB28" s="338" t="e">
        <f>IF(AND('[2]Mapa final'!$H$72="Media",'[2]Mapa final'!$L$72="Moderado"),CONCATENATE("R",'[2]Mapa final'!#REF!),"")</f>
        <v>#REF!</v>
      </c>
      <c r="AC28" s="338"/>
      <c r="AD28" s="338" t="e">
        <f>IF(AND('[2]Mapa final'!$H$79="Media",'[2]Mapa final'!$L$79="Moderado"),CONCATENATE("R",'[2]Mapa final'!$A$79),"")</f>
        <v>#REF!</v>
      </c>
      <c r="AE28" s="339"/>
      <c r="AF28" s="382"/>
      <c r="AG28" s="383"/>
      <c r="AH28" s="383"/>
      <c r="AI28" s="383"/>
      <c r="AJ28" s="383"/>
      <c r="AK28" s="384"/>
      <c r="AL28" s="373" t="str">
        <f>IF(AND('[2]Mapa final'!$H$66="Media",'[2]Mapa final'!$L$66="Catastrófico"),CONCATENATE("R",'[2]Mapa final'!$A$66),"")</f>
        <v/>
      </c>
      <c r="AM28" s="374"/>
      <c r="AN28" s="374" t="e">
        <f>IF(AND('[2]Mapa final'!$H$72="Media",'[2]Mapa final'!$L$72="Catastrófico"),CONCATENATE("R",'[2]Mapa final'!#REF!),"")</f>
        <v>#REF!</v>
      </c>
      <c r="AO28" s="374"/>
      <c r="AP28" s="374" t="e">
        <f>IF(AND('[2]Mapa final'!$H$79="Media",'[2]Mapa final'!$L$79="Catastrófico"),CONCATENATE("R",'[2]Mapa final'!$A$79),"")</f>
        <v>#REF!</v>
      </c>
      <c r="AQ28" s="375"/>
      <c r="AR28" s="92"/>
      <c r="AS28" s="364"/>
      <c r="AT28" s="365"/>
      <c r="AU28" s="365"/>
      <c r="AV28" s="365"/>
      <c r="AW28" s="365"/>
      <c r="AX28" s="366"/>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92"/>
      <c r="CB28" s="92"/>
      <c r="CC28" s="92"/>
      <c r="CD28" s="92"/>
      <c r="CE28" s="92"/>
      <c r="CF28" s="92"/>
    </row>
    <row r="29" spans="5:84" ht="14.45" customHeight="1" thickBot="1">
      <c r="E29" s="92"/>
      <c r="F29" s="417"/>
      <c r="G29" s="417"/>
      <c r="H29" s="418"/>
      <c r="I29" s="330"/>
      <c r="J29" s="331"/>
      <c r="K29" s="331"/>
      <c r="L29" s="331"/>
      <c r="M29" s="332"/>
      <c r="N29" s="151"/>
      <c r="O29" s="152"/>
      <c r="P29" s="152"/>
      <c r="Q29" s="152"/>
      <c r="R29" s="152"/>
      <c r="S29" s="153"/>
      <c r="T29" s="340"/>
      <c r="U29" s="341"/>
      <c r="V29" s="341"/>
      <c r="W29" s="341"/>
      <c r="X29" s="341"/>
      <c r="Y29" s="342"/>
      <c r="Z29" s="340"/>
      <c r="AA29" s="341"/>
      <c r="AB29" s="341"/>
      <c r="AC29" s="341"/>
      <c r="AD29" s="341"/>
      <c r="AE29" s="342"/>
      <c r="AF29" s="385"/>
      <c r="AG29" s="386"/>
      <c r="AH29" s="386"/>
      <c r="AI29" s="386"/>
      <c r="AJ29" s="386"/>
      <c r="AK29" s="387"/>
      <c r="AL29" s="376"/>
      <c r="AM29" s="377"/>
      <c r="AN29" s="377"/>
      <c r="AO29" s="377"/>
      <c r="AP29" s="377"/>
      <c r="AQ29" s="378"/>
      <c r="AR29" s="92"/>
      <c r="AS29" s="367"/>
      <c r="AT29" s="368"/>
      <c r="AU29" s="368"/>
      <c r="AV29" s="368"/>
      <c r="AW29" s="368"/>
      <c r="AX29" s="369"/>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2"/>
    </row>
    <row r="30" spans="5:84" ht="14.1" customHeight="1">
      <c r="E30" s="92"/>
      <c r="F30" s="417"/>
      <c r="G30" s="417"/>
      <c r="H30" s="418"/>
      <c r="I30" s="324" t="s">
        <v>525</v>
      </c>
      <c r="J30" s="325"/>
      <c r="K30" s="325"/>
      <c r="L30" s="325"/>
      <c r="M30" s="325"/>
      <c r="N30" s="352" t="str">
        <f>IF(AND('[2]Mapa final'!$H$12="Baja",'[2]Mapa final'!$L$12="Leve"),CONCATENATE("R",'[2]Mapa final'!$A$12),"")</f>
        <v/>
      </c>
      <c r="O30" s="353"/>
      <c r="P30" s="353"/>
      <c r="Q30" s="353"/>
      <c r="R30" s="353"/>
      <c r="S30" s="354"/>
      <c r="T30" s="388"/>
      <c r="U30" s="389"/>
      <c r="V30" s="389"/>
      <c r="W30" s="389"/>
      <c r="X30" s="389"/>
      <c r="Y30" s="390"/>
      <c r="Z30" s="334" t="str">
        <f>IF(AND('[2]Mapa final'!$H$12="Baja",'[2]Mapa final'!$L$12="Moderado"),CONCATENATE("R",'[2]Mapa final'!$A$12),"")</f>
        <v/>
      </c>
      <c r="AA30" s="335"/>
      <c r="AB30" s="335" t="str">
        <f>IF(AND('[2]Mapa final'!$H$18="Baja",'[2]Mapa final'!$L$18="Moderado"),CONCATENATE("R",'[2]Mapa final'!$A$18),"")</f>
        <v/>
      </c>
      <c r="AC30" s="335"/>
      <c r="AD30" s="335" t="str">
        <f>IF(AND('[2]Mapa final'!$H$24="Baja",'[2]Mapa final'!$L$24="Moderado"),CONCATENATE("R",'[2]Mapa final'!$A$24),"")</f>
        <v/>
      </c>
      <c r="AE30" s="336"/>
      <c r="AF30" s="379" t="str">
        <f>IF(AND('[2]Mapa final'!$H$12="Baja",'[2]Mapa final'!$L$12="Mayor"),CONCATENATE("R",'[2]Mapa final'!$A$12),"")</f>
        <v/>
      </c>
      <c r="AG30" s="380"/>
      <c r="AH30" s="380" t="str">
        <f>IF(AND('[2]Mapa final'!$H$18="Baja",'[2]Mapa final'!$L$18="Mayor"),CONCATENATE("R",'[2]Mapa final'!$A$18),"")</f>
        <v/>
      </c>
      <c r="AI30" s="380"/>
      <c r="AJ30" s="380" t="str">
        <f>IF(AND('[2]Mapa final'!$H$24="Baja",'[2]Mapa final'!$L$24="Mayor"),CONCATENATE("R",'[2]Mapa final'!$A$24),"")</f>
        <v/>
      </c>
      <c r="AK30" s="381"/>
      <c r="AL30" s="370" t="str">
        <f>IF(AND('[2]Mapa final'!$H$12="Baja",'[2]Mapa final'!$L$12="Catastrófico"),CONCATENATE("R",'[2]Mapa final'!$A$12),"")</f>
        <v/>
      </c>
      <c r="AM30" s="371"/>
      <c r="AN30" s="371" t="str">
        <f>IF(AND('[2]Mapa final'!$H$18="Baja",'[2]Mapa final'!$L$18="Catastrófico"),CONCATENATE("R",'[2]Mapa final'!$A$18),"")</f>
        <v/>
      </c>
      <c r="AO30" s="371"/>
      <c r="AP30" s="371" t="str">
        <f>IF(AND('[2]Mapa final'!$H$24="Baja",'[2]Mapa final'!$L$24="Catastrófico"),CONCATENATE("R",'[2]Mapa final'!$A$24),"")</f>
        <v/>
      </c>
      <c r="AQ30" s="372"/>
      <c r="AR30" s="92"/>
      <c r="AS30" s="343" t="s">
        <v>526</v>
      </c>
      <c r="AT30" s="344"/>
      <c r="AU30" s="344"/>
      <c r="AV30" s="344"/>
      <c r="AW30" s="344"/>
      <c r="AX30" s="345"/>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92"/>
      <c r="CB30" s="92"/>
      <c r="CC30" s="92"/>
      <c r="CD30" s="92"/>
      <c r="CE30" s="92"/>
      <c r="CF30" s="92"/>
    </row>
    <row r="31" spans="5:84" ht="14.1" customHeight="1">
      <c r="E31" s="92"/>
      <c r="F31" s="417"/>
      <c r="G31" s="417"/>
      <c r="H31" s="418"/>
      <c r="I31" s="327"/>
      <c r="J31" s="328"/>
      <c r="K31" s="328"/>
      <c r="L31" s="328"/>
      <c r="M31" s="328"/>
      <c r="N31" s="355"/>
      <c r="O31" s="356"/>
      <c r="P31" s="356"/>
      <c r="Q31" s="356"/>
      <c r="R31" s="356"/>
      <c r="S31" s="357"/>
      <c r="T31" s="391"/>
      <c r="U31" s="392"/>
      <c r="V31" s="392"/>
      <c r="W31" s="392"/>
      <c r="X31" s="392"/>
      <c r="Y31" s="393"/>
      <c r="Z31" s="337"/>
      <c r="AA31" s="338"/>
      <c r="AB31" s="338"/>
      <c r="AC31" s="338"/>
      <c r="AD31" s="338"/>
      <c r="AE31" s="339"/>
      <c r="AF31" s="382"/>
      <c r="AG31" s="383"/>
      <c r="AH31" s="383"/>
      <c r="AI31" s="383"/>
      <c r="AJ31" s="383"/>
      <c r="AK31" s="384"/>
      <c r="AL31" s="373"/>
      <c r="AM31" s="374"/>
      <c r="AN31" s="374"/>
      <c r="AO31" s="374"/>
      <c r="AP31" s="374"/>
      <c r="AQ31" s="375"/>
      <c r="AR31" s="92"/>
      <c r="AS31" s="346"/>
      <c r="AT31" s="347"/>
      <c r="AU31" s="347"/>
      <c r="AV31" s="347"/>
      <c r="AW31" s="347"/>
      <c r="AX31" s="348"/>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row>
    <row r="32" spans="5:84" ht="14.1" customHeight="1">
      <c r="E32" s="92"/>
      <c r="F32" s="417"/>
      <c r="G32" s="417"/>
      <c r="H32" s="418"/>
      <c r="I32" s="327"/>
      <c r="J32" s="328"/>
      <c r="K32" s="328"/>
      <c r="L32" s="328"/>
      <c r="M32" s="328"/>
      <c r="N32" s="355"/>
      <c r="O32" s="356"/>
      <c r="P32" s="356"/>
      <c r="Q32" s="356"/>
      <c r="R32" s="356"/>
      <c r="S32" s="357"/>
      <c r="T32" s="391"/>
      <c r="U32" s="392"/>
      <c r="V32" s="392"/>
      <c r="W32" s="392"/>
      <c r="X32" s="392"/>
      <c r="Y32" s="393"/>
      <c r="Z32" s="337" t="str">
        <f>IF(AND('[2]Mapa final'!$H$30="Baja",'[2]Mapa final'!$L$30="Moderado"),CONCATENATE("R",'[2]Mapa final'!$A$30),"")</f>
        <v/>
      </c>
      <c r="AA32" s="338"/>
      <c r="AB32" s="338" t="str">
        <f>IF(AND('[2]Mapa final'!$H$36="Baja",'[2]Mapa final'!$L$36="Moderado"),CONCATENATE("R",'[2]Mapa final'!$A$36),"")</f>
        <v/>
      </c>
      <c r="AC32" s="338"/>
      <c r="AD32" s="338" t="str">
        <f>IF(AND('[2]Mapa final'!$H$42="Baja",'[2]Mapa final'!$L$42="Moderado"),CONCATENATE("R",'[2]Mapa final'!$A$42),"")</f>
        <v/>
      </c>
      <c r="AE32" s="339"/>
      <c r="AF32" s="382" t="str">
        <f>IF(AND('[2]Mapa final'!$H$30="Baja",'[2]Mapa final'!$L$30="Mayor"),CONCATENATE("R",'[2]Mapa final'!$A$30),"")</f>
        <v/>
      </c>
      <c r="AG32" s="383"/>
      <c r="AH32" s="383" t="str">
        <f>IF(AND('[2]Mapa final'!$H$36="Baja",'[2]Mapa final'!$L$36="Mayor"),CONCATENATE("R",'[2]Mapa final'!$A$36),"")</f>
        <v/>
      </c>
      <c r="AI32" s="383"/>
      <c r="AJ32" s="383" t="str">
        <f>IF(AND('[2]Mapa final'!$H$42="Baja",'[2]Mapa final'!$L$42="Mayor"),CONCATENATE("R",'[2]Mapa final'!$A$42),"")</f>
        <v/>
      </c>
      <c r="AK32" s="384"/>
      <c r="AL32" s="373" t="str">
        <f>IF(AND('[2]Mapa final'!$H$30="Baja",'[2]Mapa final'!$L$30="Catastrófico"),CONCATENATE("R",'[2]Mapa final'!$A$30),"")</f>
        <v/>
      </c>
      <c r="AM32" s="374"/>
      <c r="AN32" s="374" t="str">
        <f>IF(AND('[2]Mapa final'!$H$36="Baja",'[2]Mapa final'!$L$36="Catastrófico"),CONCATENATE("R",'[2]Mapa final'!$A$36),"")</f>
        <v/>
      </c>
      <c r="AO32" s="374"/>
      <c r="AP32" s="374" t="str">
        <f>IF(AND('[2]Mapa final'!$H$42="Baja",'[2]Mapa final'!$L$42="Catastrófico"),CONCATENATE("R",'[2]Mapa final'!$A$42),"")</f>
        <v/>
      </c>
      <c r="AQ32" s="375"/>
      <c r="AR32" s="92"/>
      <c r="AS32" s="346"/>
      <c r="AT32" s="347"/>
      <c r="AU32" s="347"/>
      <c r="AV32" s="347"/>
      <c r="AW32" s="347"/>
      <c r="AX32" s="348"/>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BZ32" s="92"/>
      <c r="CA32" s="92"/>
      <c r="CB32" s="92"/>
      <c r="CC32" s="92"/>
      <c r="CD32" s="92"/>
      <c r="CE32" s="92"/>
      <c r="CF32" s="92"/>
    </row>
    <row r="33" spans="5:84" ht="14.1" customHeight="1">
      <c r="E33" s="92"/>
      <c r="F33" s="417"/>
      <c r="G33" s="417"/>
      <c r="H33" s="418"/>
      <c r="I33" s="327"/>
      <c r="J33" s="328"/>
      <c r="K33" s="328"/>
      <c r="L33" s="328"/>
      <c r="M33" s="328"/>
      <c r="N33" s="355"/>
      <c r="O33" s="356"/>
      <c r="P33" s="356"/>
      <c r="Q33" s="356"/>
      <c r="R33" s="356"/>
      <c r="S33" s="357"/>
      <c r="T33" s="391"/>
      <c r="U33" s="392"/>
      <c r="V33" s="392"/>
      <c r="W33" s="392"/>
      <c r="X33" s="392"/>
      <c r="Y33" s="393"/>
      <c r="Z33" s="337"/>
      <c r="AA33" s="338"/>
      <c r="AB33" s="338"/>
      <c r="AC33" s="338"/>
      <c r="AD33" s="338"/>
      <c r="AE33" s="339"/>
      <c r="AF33" s="382"/>
      <c r="AG33" s="383"/>
      <c r="AH33" s="383"/>
      <c r="AI33" s="383"/>
      <c r="AJ33" s="383"/>
      <c r="AK33" s="384"/>
      <c r="AL33" s="373"/>
      <c r="AM33" s="374"/>
      <c r="AN33" s="374"/>
      <c r="AO33" s="374"/>
      <c r="AP33" s="374"/>
      <c r="AQ33" s="375"/>
      <c r="AR33" s="92"/>
      <c r="AS33" s="346"/>
      <c r="AT33" s="347"/>
      <c r="AU33" s="347"/>
      <c r="AV33" s="347"/>
      <c r="AW33" s="347"/>
      <c r="AX33" s="348"/>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row>
    <row r="34" spans="5:84" ht="14.1" customHeight="1">
      <c r="E34" s="92"/>
      <c r="F34" s="417"/>
      <c r="G34" s="417"/>
      <c r="H34" s="418"/>
      <c r="I34" s="327"/>
      <c r="J34" s="328"/>
      <c r="K34" s="328"/>
      <c r="L34" s="328"/>
      <c r="M34" s="328"/>
      <c r="N34" s="355"/>
      <c r="O34" s="356"/>
      <c r="P34" s="356"/>
      <c r="Q34" s="356"/>
      <c r="R34" s="356"/>
      <c r="S34" s="357"/>
      <c r="T34" s="391"/>
      <c r="U34" s="392"/>
      <c r="V34" s="392"/>
      <c r="W34" s="392"/>
      <c r="X34" s="392"/>
      <c r="Y34" s="393"/>
      <c r="Z34" s="337" t="str">
        <f>IF(AND('[2]Mapa final'!$H$48="Baja",'[2]Mapa final'!$L$48="Moderado"),CONCATENATE("R",'[2]Mapa final'!$A$48),"")</f>
        <v/>
      </c>
      <c r="AA34" s="338"/>
      <c r="AB34" s="338" t="str">
        <f>IF(AND('[2]Mapa final'!$H$54="Baja",'[2]Mapa final'!$L$54="Moderado"),CONCATENATE("R",'[2]Mapa final'!$A$54),"")</f>
        <v/>
      </c>
      <c r="AC34" s="338"/>
      <c r="AD34" s="338" t="str">
        <f>IF(AND('[2]Mapa final'!$H$60="Baja",'[2]Mapa final'!$L$60="Moderado"),CONCATENATE("R",'[2]Mapa final'!$A$60),"")</f>
        <v/>
      </c>
      <c r="AE34" s="339"/>
      <c r="AF34" s="382" t="str">
        <f>IF(AND('[2]Mapa final'!$H$48="Baja",'[2]Mapa final'!$L$48="Mayor"),CONCATENATE("R",'[2]Mapa final'!$A$48),"")</f>
        <v/>
      </c>
      <c r="AG34" s="383"/>
      <c r="AH34" s="383" t="str">
        <f>IF(AND('[2]Mapa final'!$H$54="Baja",'[2]Mapa final'!$L$54="Mayor"),CONCATENATE("R",'[2]Mapa final'!$A$54),"")</f>
        <v/>
      </c>
      <c r="AI34" s="383"/>
      <c r="AJ34" s="383" t="str">
        <f>IF(AND('[2]Mapa final'!$H$60="Baja",'[2]Mapa final'!$L$60="Mayor"),CONCATENATE("R",'[2]Mapa final'!$A$60),"")</f>
        <v/>
      </c>
      <c r="AK34" s="384"/>
      <c r="AL34" s="373" t="str">
        <f>IF(AND('[2]Mapa final'!$H$48="Baja",'[2]Mapa final'!$L$48="Catastrófico"),CONCATENATE("R",'[2]Mapa final'!$A$48),"")</f>
        <v/>
      </c>
      <c r="AM34" s="374"/>
      <c r="AN34" s="374" t="str">
        <f>IF(AND('[2]Mapa final'!$H$54="Baja",'[2]Mapa final'!$L$54="Catastrófico"),CONCATENATE("R",'[2]Mapa final'!$A$54),"")</f>
        <v/>
      </c>
      <c r="AO34" s="374"/>
      <c r="AP34" s="374" t="str">
        <f>IF(AND('[2]Mapa final'!$H$60="Baja",'[2]Mapa final'!$L$60="Catastrófico"),CONCATENATE("R",'[2]Mapa final'!$A$60),"")</f>
        <v/>
      </c>
      <c r="AQ34" s="375"/>
      <c r="AR34" s="92"/>
      <c r="AS34" s="346"/>
      <c r="AT34" s="347"/>
      <c r="AU34" s="347"/>
      <c r="AV34" s="347"/>
      <c r="AW34" s="347"/>
      <c r="AX34" s="348"/>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row>
    <row r="35" spans="5:84" ht="14.1" customHeight="1">
      <c r="E35" s="92"/>
      <c r="F35" s="417"/>
      <c r="G35" s="417"/>
      <c r="H35" s="418"/>
      <c r="I35" s="327"/>
      <c r="J35" s="328"/>
      <c r="K35" s="328"/>
      <c r="L35" s="328"/>
      <c r="M35" s="328"/>
      <c r="N35" s="355"/>
      <c r="O35" s="356"/>
      <c r="P35" s="356"/>
      <c r="Q35" s="356"/>
      <c r="R35" s="356"/>
      <c r="S35" s="357"/>
      <c r="T35" s="391"/>
      <c r="U35" s="392"/>
      <c r="V35" s="392"/>
      <c r="W35" s="392"/>
      <c r="X35" s="392"/>
      <c r="Y35" s="393"/>
      <c r="Z35" s="337"/>
      <c r="AA35" s="338"/>
      <c r="AB35" s="338"/>
      <c r="AC35" s="338"/>
      <c r="AD35" s="338"/>
      <c r="AE35" s="339"/>
      <c r="AF35" s="382"/>
      <c r="AG35" s="383"/>
      <c r="AH35" s="383"/>
      <c r="AI35" s="383"/>
      <c r="AJ35" s="383"/>
      <c r="AK35" s="384"/>
      <c r="AL35" s="373"/>
      <c r="AM35" s="374"/>
      <c r="AN35" s="374"/>
      <c r="AO35" s="374"/>
      <c r="AP35" s="374"/>
      <c r="AQ35" s="375"/>
      <c r="AR35" s="92"/>
      <c r="AS35" s="346"/>
      <c r="AT35" s="347"/>
      <c r="AU35" s="347"/>
      <c r="AV35" s="347"/>
      <c r="AW35" s="347"/>
      <c r="AX35" s="348"/>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c r="CB35" s="92"/>
      <c r="CC35" s="92"/>
      <c r="CD35" s="92"/>
      <c r="CE35" s="92"/>
      <c r="CF35" s="92"/>
    </row>
    <row r="36" spans="5:84" ht="14.1" customHeight="1">
      <c r="E36" s="92"/>
      <c r="F36" s="417"/>
      <c r="G36" s="417"/>
      <c r="H36" s="418"/>
      <c r="I36" s="327"/>
      <c r="J36" s="328"/>
      <c r="K36" s="328"/>
      <c r="L36" s="328"/>
      <c r="M36" s="328"/>
      <c r="N36" s="355"/>
      <c r="O36" s="356"/>
      <c r="P36" s="356"/>
      <c r="Q36" s="356"/>
      <c r="R36" s="356"/>
      <c r="S36" s="357"/>
      <c r="T36" s="391"/>
      <c r="U36" s="392"/>
      <c r="V36" s="392"/>
      <c r="W36" s="392"/>
      <c r="X36" s="392"/>
      <c r="Y36" s="393"/>
      <c r="Z36" s="337" t="str">
        <f>IF(AND('[2]Mapa final'!$H$66="Baja",'[2]Mapa final'!$L$66="Moderado"),CONCATENATE("R",'[2]Mapa final'!$A$66),"")</f>
        <v/>
      </c>
      <c r="AA36" s="338"/>
      <c r="AB36" s="338" t="e">
        <f>IF(AND('[2]Mapa final'!$H$72="Baja",'[2]Mapa final'!$L$72="Moderado"),CONCATENATE("R",'[2]Mapa final'!#REF!),"")</f>
        <v>#REF!</v>
      </c>
      <c r="AC36" s="338"/>
      <c r="AD36" s="338" t="e">
        <f>IF(AND('[2]Mapa final'!$H$79="Baja",'[2]Mapa final'!$L$79="Moderado"),CONCATENATE("R",'[2]Mapa final'!$A$79),"")</f>
        <v>#REF!</v>
      </c>
      <c r="AE36" s="339"/>
      <c r="AF36" s="382" t="str">
        <f>IF(AND('[2]Mapa final'!$H$66="Baja",'[2]Mapa final'!$L$66="Mayor"),CONCATENATE("R",'[2]Mapa final'!$A$66),"")</f>
        <v/>
      </c>
      <c r="AG36" s="383"/>
      <c r="AH36" s="383" t="e">
        <f>IF(AND('[2]Mapa final'!$H$72="Baja",'[2]Mapa final'!$L$72="Mayor"),CONCATENATE("R",'[2]Mapa final'!#REF!),"")</f>
        <v>#REF!</v>
      </c>
      <c r="AI36" s="383"/>
      <c r="AJ36" s="383" t="e">
        <f>IF(AND('[2]Mapa final'!$H$79="Baja",'[2]Mapa final'!$L$79="Mayor"),CONCATENATE("R",'[2]Mapa final'!$A$79),"")</f>
        <v>#REF!</v>
      </c>
      <c r="AK36" s="384"/>
      <c r="AL36" s="373" t="str">
        <f>IF(AND('[2]Mapa final'!$H$66="Baja",'[2]Mapa final'!$L$66="Catastrófico"),CONCATENATE("R",'[2]Mapa final'!$A$66),"")</f>
        <v/>
      </c>
      <c r="AM36" s="374"/>
      <c r="AN36" s="374" t="e">
        <f>IF(AND('[2]Mapa final'!$H$72="Baja",'[2]Mapa final'!$L$72="Catastrófico"),CONCATENATE("R",'[2]Mapa final'!#REF!),"")</f>
        <v>#REF!</v>
      </c>
      <c r="AO36" s="374"/>
      <c r="AP36" s="374" t="e">
        <f>IF(AND('[2]Mapa final'!$H$79="Baja",'[2]Mapa final'!$L$79="Catastrófico"),CONCATENATE("R",'[2]Mapa final'!$A$79),"")</f>
        <v>#REF!</v>
      </c>
      <c r="AQ36" s="375"/>
      <c r="AR36" s="92"/>
      <c r="AS36" s="346"/>
      <c r="AT36" s="347"/>
      <c r="AU36" s="347"/>
      <c r="AV36" s="347"/>
      <c r="AW36" s="347"/>
      <c r="AX36" s="348"/>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row>
    <row r="37" spans="5:84" ht="14.45" customHeight="1" thickBot="1">
      <c r="E37" s="92"/>
      <c r="F37" s="417"/>
      <c r="G37" s="417"/>
      <c r="H37" s="418"/>
      <c r="I37" s="330"/>
      <c r="J37" s="331"/>
      <c r="K37" s="331"/>
      <c r="L37" s="331"/>
      <c r="M37" s="331"/>
      <c r="N37" s="358"/>
      <c r="O37" s="359"/>
      <c r="P37" s="359"/>
      <c r="Q37" s="359"/>
      <c r="R37" s="359"/>
      <c r="S37" s="360"/>
      <c r="T37" s="394"/>
      <c r="U37" s="395"/>
      <c r="V37" s="395"/>
      <c r="W37" s="395"/>
      <c r="X37" s="395"/>
      <c r="Y37" s="396"/>
      <c r="Z37" s="340"/>
      <c r="AA37" s="341"/>
      <c r="AB37" s="341"/>
      <c r="AC37" s="341"/>
      <c r="AD37" s="341"/>
      <c r="AE37" s="342"/>
      <c r="AF37" s="385"/>
      <c r="AG37" s="386"/>
      <c r="AH37" s="386"/>
      <c r="AI37" s="386"/>
      <c r="AJ37" s="386"/>
      <c r="AK37" s="387"/>
      <c r="AL37" s="376"/>
      <c r="AM37" s="377"/>
      <c r="AN37" s="377"/>
      <c r="AO37" s="377"/>
      <c r="AP37" s="377"/>
      <c r="AQ37" s="378"/>
      <c r="AR37" s="92"/>
      <c r="AS37" s="349"/>
      <c r="AT37" s="350"/>
      <c r="AU37" s="350"/>
      <c r="AV37" s="350"/>
      <c r="AW37" s="350"/>
      <c r="AX37" s="351"/>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row>
    <row r="38" spans="5:84" ht="14.1" customHeight="1">
      <c r="E38" s="92"/>
      <c r="F38" s="417"/>
      <c r="G38" s="417"/>
      <c r="H38" s="418"/>
      <c r="I38" s="324" t="s">
        <v>527</v>
      </c>
      <c r="J38" s="325"/>
      <c r="K38" s="325"/>
      <c r="L38" s="325"/>
      <c r="M38" s="326"/>
      <c r="N38" s="352" t="str">
        <f>IF(AND('[2]Mapa final'!$H$12="Muy Baja",'[2]Mapa final'!$L$12="Leve"),CONCATENATE("R",'[2]Mapa final'!$A$12),"")</f>
        <v/>
      </c>
      <c r="O38" s="353"/>
      <c r="P38" s="353" t="str">
        <f>IF(AND('[2]Mapa final'!$H$18="Muy Baja",'[2]Mapa final'!$L$18="Leve"),CONCATENATE("R",'[2]Mapa final'!$A$18),"")</f>
        <v/>
      </c>
      <c r="Q38" s="353"/>
      <c r="R38" s="353" t="str">
        <f>IF(AND('[2]Mapa final'!$H$24="Muy Baja",'[2]Mapa final'!$L$24="Leve"),CONCATENATE("R",'[2]Mapa final'!$A$24),"")</f>
        <v>R3</v>
      </c>
      <c r="S38" s="354"/>
      <c r="T38" s="352" t="str">
        <f>IF(AND('[2]Mapa final'!$H$12="Muy Baja",'[2]Mapa final'!$L$12="Menor"),CONCATENATE("R",'[2]Mapa final'!$A$12),"")</f>
        <v/>
      </c>
      <c r="U38" s="353"/>
      <c r="V38" s="353" t="str">
        <f>IF(AND('[2]Mapa final'!$H$18="Muy Baja",'[2]Mapa final'!$L$18="Menor"),CONCATENATE("R",'[2]Mapa final'!$A$18),"")</f>
        <v/>
      </c>
      <c r="W38" s="353"/>
      <c r="X38" s="353" t="str">
        <f>IF(AND('[2]Mapa final'!$H$24="Muy Baja",'[2]Mapa final'!$L$24="Menor"),CONCATENATE("R",'[2]Mapa final'!$A$24),"")</f>
        <v/>
      </c>
      <c r="Y38" s="354"/>
      <c r="Z38" s="334" t="str">
        <f>IF(AND('[2]Mapa final'!$H$12="Muy Baja",'[2]Mapa final'!$L$12="Moderado"),CONCATENATE("R",'[2]Mapa final'!$A$12),"")</f>
        <v/>
      </c>
      <c r="AA38" s="335"/>
      <c r="AB38" s="335" t="str">
        <f>IF(AND('[2]Mapa final'!$H$18="Muy Baja",'[2]Mapa final'!$L$18="Moderado"),CONCATENATE("R",'[2]Mapa final'!$A$18),"")</f>
        <v/>
      </c>
      <c r="AC38" s="335"/>
      <c r="AD38" s="335" t="str">
        <f>IF(AND('[2]Mapa final'!$H$24="Muy Baja",'[2]Mapa final'!$L$24="Moderado"),CONCATENATE("R",'[2]Mapa final'!$A$24),"")</f>
        <v/>
      </c>
      <c r="AE38" s="336"/>
      <c r="AF38" s="379" t="str">
        <f>IF(AND('[2]Mapa final'!$H$12="Muy Baja",'[2]Mapa final'!$L$12="Mayor"),CONCATENATE("R",'[2]Mapa final'!$A$12),"")</f>
        <v/>
      </c>
      <c r="AG38" s="380"/>
      <c r="AH38" s="380" t="str">
        <f>IF(AND('[2]Mapa final'!$H$18="Muy Baja",'[2]Mapa final'!$L$18="Mayor"),CONCATENATE("R",'[2]Mapa final'!$A$18),"")</f>
        <v/>
      </c>
      <c r="AI38" s="380"/>
      <c r="AJ38" s="380" t="str">
        <f>IF(AND('[2]Mapa final'!$H$24="Muy Baja",'[2]Mapa final'!$L$24="Mayor"),CONCATENATE("R",'[2]Mapa final'!$A$24),"")</f>
        <v/>
      </c>
      <c r="AK38" s="381"/>
      <c r="AL38" s="370" t="str">
        <f>IF(AND('[2]Mapa final'!$H$12="Muy Baja",'[2]Mapa final'!$L$12="Catastrófico"),CONCATENATE("R",'[2]Mapa final'!$A$12),"")</f>
        <v/>
      </c>
      <c r="AM38" s="371"/>
      <c r="AN38" s="371" t="str">
        <f>IF(AND('[2]Mapa final'!$H$18="Muy Baja",'[2]Mapa final'!$L$18="Catastrófico"),CONCATENATE("R",'[2]Mapa final'!$A$18),"")</f>
        <v/>
      </c>
      <c r="AO38" s="371"/>
      <c r="AP38" s="371" t="str">
        <f>IF(AND('[2]Mapa final'!$H$24="Muy Baja",'[2]Mapa final'!$L$24="Catastrófico"),CONCATENATE("R",'[2]Mapa final'!$A$24),"")</f>
        <v/>
      </c>
      <c r="AQ38" s="37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row>
    <row r="39" spans="5:84" ht="14.1" customHeight="1">
      <c r="E39" s="92"/>
      <c r="F39" s="417"/>
      <c r="G39" s="417"/>
      <c r="H39" s="418"/>
      <c r="I39" s="327"/>
      <c r="J39" s="328"/>
      <c r="K39" s="328"/>
      <c r="L39" s="328"/>
      <c r="M39" s="329"/>
      <c r="N39" s="355"/>
      <c r="O39" s="356"/>
      <c r="P39" s="356"/>
      <c r="Q39" s="356"/>
      <c r="R39" s="356"/>
      <c r="S39" s="357"/>
      <c r="T39" s="355"/>
      <c r="U39" s="356"/>
      <c r="V39" s="356"/>
      <c r="W39" s="356"/>
      <c r="X39" s="356"/>
      <c r="Y39" s="357"/>
      <c r="Z39" s="337"/>
      <c r="AA39" s="338"/>
      <c r="AB39" s="338"/>
      <c r="AC39" s="338"/>
      <c r="AD39" s="338"/>
      <c r="AE39" s="339"/>
      <c r="AF39" s="382"/>
      <c r="AG39" s="383"/>
      <c r="AH39" s="383"/>
      <c r="AI39" s="383"/>
      <c r="AJ39" s="383"/>
      <c r="AK39" s="384"/>
      <c r="AL39" s="373"/>
      <c r="AM39" s="374"/>
      <c r="AN39" s="374"/>
      <c r="AO39" s="374"/>
      <c r="AP39" s="374"/>
      <c r="AQ39" s="375"/>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2"/>
    </row>
    <row r="40" spans="5:84" ht="14.1" customHeight="1">
      <c r="E40" s="92"/>
      <c r="F40" s="417"/>
      <c r="G40" s="417"/>
      <c r="H40" s="418"/>
      <c r="I40" s="327"/>
      <c r="J40" s="328"/>
      <c r="K40" s="328"/>
      <c r="L40" s="328"/>
      <c r="M40" s="329"/>
      <c r="N40" s="355" t="str">
        <f>IF(AND('[2]Mapa final'!$H$30="Muy Baja",'[2]Mapa final'!$L$30="Leve"),CONCATENATE("R",'[2]Mapa final'!$A$30),"")</f>
        <v/>
      </c>
      <c r="O40" s="356"/>
      <c r="P40" s="356" t="str">
        <f>IF(AND('[2]Mapa final'!$H$36="Muy Baja",'[2]Mapa final'!$L$36="Leve"),CONCATENATE("R",'[2]Mapa final'!$A$36),"")</f>
        <v/>
      </c>
      <c r="Q40" s="356"/>
      <c r="R40" s="356" t="str">
        <f>IF(AND('[2]Mapa final'!$H$42="Muy Baja",'[2]Mapa final'!$L$42="Leve"),CONCATENATE("R",'[2]Mapa final'!$A$42),"")</f>
        <v/>
      </c>
      <c r="S40" s="357"/>
      <c r="T40" s="355" t="str">
        <f>IF(AND('[2]Mapa final'!$H$30="Muy Baja",'[2]Mapa final'!$L$30="Menor"),CONCATENATE("R",'[2]Mapa final'!$A$30),"")</f>
        <v/>
      </c>
      <c r="U40" s="356"/>
      <c r="V40" s="356" t="str">
        <f>IF(AND('[2]Mapa final'!$H$36="Muy Baja",'[2]Mapa final'!$L$36="Menor"),CONCATENATE("R",'[2]Mapa final'!$A$36),"")</f>
        <v/>
      </c>
      <c r="W40" s="356"/>
      <c r="X40" s="356" t="str">
        <f>IF(AND('[2]Mapa final'!$H$42="Muy Baja",'[2]Mapa final'!$L$42="Menor"),CONCATENATE("R",'[2]Mapa final'!$A$42),"")</f>
        <v/>
      </c>
      <c r="Y40" s="357"/>
      <c r="Z40" s="337" t="str">
        <f>IF(AND('[2]Mapa final'!$H$30="Muy Baja",'[2]Mapa final'!$L$30="Moderado"),CONCATENATE("R",'[2]Mapa final'!$A$30),"")</f>
        <v/>
      </c>
      <c r="AA40" s="338"/>
      <c r="AB40" s="338" t="str">
        <f>IF(AND('[2]Mapa final'!$H$36="Muy Baja",'[2]Mapa final'!$L$36="Moderado"),CONCATENATE("R",'[2]Mapa final'!$A$36),"")</f>
        <v/>
      </c>
      <c r="AC40" s="338"/>
      <c r="AD40" s="338" t="str">
        <f>IF(AND('[2]Mapa final'!$H$42="Muy Baja",'[2]Mapa final'!$L$42="Moderado"),CONCATENATE("R",'[2]Mapa final'!$A$42),"")</f>
        <v>R5</v>
      </c>
      <c r="AE40" s="339"/>
      <c r="AF40" s="382" t="str">
        <f>IF(AND('[2]Mapa final'!$H$30="Muy Baja",'[2]Mapa final'!$L$30="Mayor"),CONCATENATE("R",'[2]Mapa final'!$A$30),"")</f>
        <v/>
      </c>
      <c r="AG40" s="383"/>
      <c r="AH40" s="383" t="str">
        <f>IF(AND('[2]Mapa final'!$H$36="Muy Baja",'[2]Mapa final'!$L$36="Mayor"),CONCATENATE("R",'[2]Mapa final'!$A$36),"")</f>
        <v/>
      </c>
      <c r="AI40" s="383"/>
      <c r="AJ40" s="383" t="str">
        <f>IF(AND('[2]Mapa final'!$H$42="Muy Baja",'[2]Mapa final'!$L$42="Mayor"),CONCATENATE("R",'[2]Mapa final'!$A$42),"")</f>
        <v/>
      </c>
      <c r="AK40" s="384"/>
      <c r="AL40" s="373" t="str">
        <f>IF(AND('[2]Mapa final'!$H$30="Muy Baja",'[2]Mapa final'!$L$30="Catastrófico"),CONCATENATE("R",'[2]Mapa final'!$A$30),"")</f>
        <v/>
      </c>
      <c r="AM40" s="374"/>
      <c r="AN40" s="374" t="str">
        <f>IF(AND('[2]Mapa final'!$H$36="Muy Baja",'[2]Mapa final'!$L$36="Catastrófico"),CONCATENATE("R",'[2]Mapa final'!$A$36),"")</f>
        <v/>
      </c>
      <c r="AO40" s="374"/>
      <c r="AP40" s="374" t="str">
        <f>IF(AND('[2]Mapa final'!$H$42="Muy Baja",'[2]Mapa final'!$L$42="Catastrófico"),CONCATENATE("R",'[2]Mapa final'!$A$42),"")</f>
        <v/>
      </c>
      <c r="AQ40" s="375"/>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row>
    <row r="41" spans="5:84" ht="14.1" customHeight="1">
      <c r="E41" s="92"/>
      <c r="F41" s="417"/>
      <c r="G41" s="417"/>
      <c r="H41" s="418"/>
      <c r="I41" s="327"/>
      <c r="J41" s="328"/>
      <c r="K41" s="328"/>
      <c r="L41" s="328"/>
      <c r="M41" s="329"/>
      <c r="N41" s="355"/>
      <c r="O41" s="356"/>
      <c r="P41" s="356"/>
      <c r="Q41" s="356"/>
      <c r="R41" s="356"/>
      <c r="S41" s="357"/>
      <c r="T41" s="355"/>
      <c r="U41" s="356"/>
      <c r="V41" s="356"/>
      <c r="W41" s="356"/>
      <c r="X41" s="356"/>
      <c r="Y41" s="357"/>
      <c r="Z41" s="337"/>
      <c r="AA41" s="338"/>
      <c r="AB41" s="338"/>
      <c r="AC41" s="338"/>
      <c r="AD41" s="338"/>
      <c r="AE41" s="339"/>
      <c r="AF41" s="382"/>
      <c r="AG41" s="383"/>
      <c r="AH41" s="383"/>
      <c r="AI41" s="383"/>
      <c r="AJ41" s="383"/>
      <c r="AK41" s="384"/>
      <c r="AL41" s="373"/>
      <c r="AM41" s="374"/>
      <c r="AN41" s="374"/>
      <c r="AO41" s="374"/>
      <c r="AP41" s="374"/>
      <c r="AQ41" s="375"/>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row>
    <row r="42" spans="5:84" ht="14.1" customHeight="1">
      <c r="E42" s="92"/>
      <c r="F42" s="417"/>
      <c r="G42" s="417"/>
      <c r="H42" s="418"/>
      <c r="I42" s="327"/>
      <c r="J42" s="328"/>
      <c r="K42" s="328"/>
      <c r="L42" s="328"/>
      <c r="M42" s="329"/>
      <c r="N42" s="355" t="str">
        <f>IF(AND('[2]Mapa final'!$H$48="Muy Baja",'[2]Mapa final'!$L$48="Leve"),CONCATENATE("R",'[2]Mapa final'!$A$48),"")</f>
        <v/>
      </c>
      <c r="O42" s="356"/>
      <c r="P42" s="356" t="str">
        <f>IF(AND('[2]Mapa final'!$H$54="Muy Baja",'[2]Mapa final'!$L$54="Leve"),CONCATENATE("R",'[2]Mapa final'!$A$54),"")</f>
        <v/>
      </c>
      <c r="Q42" s="356"/>
      <c r="R42" s="356" t="str">
        <f>IF(AND('[2]Mapa final'!$H$60="Muy Baja",'[2]Mapa final'!$L$60="Leve"),CONCATENATE("R",'[2]Mapa final'!$A$60),"")</f>
        <v/>
      </c>
      <c r="S42" s="357"/>
      <c r="T42" s="355" t="str">
        <f>IF(AND('[2]Mapa final'!$H$48="Muy Baja",'[2]Mapa final'!$L$48="Menor"),CONCATENATE("R",'[2]Mapa final'!$A$48),"")</f>
        <v/>
      </c>
      <c r="U42" s="356"/>
      <c r="V42" s="356" t="str">
        <f>IF(AND('[2]Mapa final'!$H$54="Muy Baja",'[2]Mapa final'!$L$54="Menor"),CONCATENATE("R",'[2]Mapa final'!$A$54),"")</f>
        <v/>
      </c>
      <c r="W42" s="356"/>
      <c r="X42" s="356" t="str">
        <f>IF(AND('[2]Mapa final'!$H$60="Muy Baja",'[2]Mapa final'!$L$60="Menor"),CONCATENATE("R",'[2]Mapa final'!$A$60),"")</f>
        <v/>
      </c>
      <c r="Y42" s="357"/>
      <c r="Z42" s="337" t="str">
        <f>IF(AND('[2]Mapa final'!$H$48="Muy Baja",'[2]Mapa final'!$L$48="Moderado"),CONCATENATE("R",'[2]Mapa final'!$A$48),"")</f>
        <v/>
      </c>
      <c r="AA42" s="338"/>
      <c r="AB42" s="338" t="str">
        <f>IF(AND('[2]Mapa final'!$H$54="Muy Baja",'[2]Mapa final'!$L$54="Moderado"),CONCATENATE("R",'[2]Mapa final'!$A$54),"")</f>
        <v/>
      </c>
      <c r="AC42" s="338"/>
      <c r="AD42" s="338" t="str">
        <f>IF(AND('[2]Mapa final'!$H$60="Muy Baja",'[2]Mapa final'!$L$60="Moderado"),CONCATENATE("R",'[2]Mapa final'!$A$60),"")</f>
        <v/>
      </c>
      <c r="AE42" s="339"/>
      <c r="AF42" s="382" t="str">
        <f>IF(AND('[2]Mapa final'!$H$48="Muy Baja",'[2]Mapa final'!$L$48="Mayor"),CONCATENATE("R",'[2]Mapa final'!$A$48),"")</f>
        <v/>
      </c>
      <c r="AG42" s="383"/>
      <c r="AH42" s="383" t="str">
        <f>IF(AND('[2]Mapa final'!$H$54="Muy Baja",'[2]Mapa final'!$L$54="Mayor"),CONCATENATE("R",'[2]Mapa final'!$A$54),"")</f>
        <v/>
      </c>
      <c r="AI42" s="383"/>
      <c r="AJ42" s="383" t="str">
        <f>IF(AND('[2]Mapa final'!$H$60="Muy Baja",'[2]Mapa final'!$L$60="Mayor"),CONCATENATE("R",'[2]Mapa final'!$A$60),"")</f>
        <v/>
      </c>
      <c r="AK42" s="384"/>
      <c r="AL42" s="373" t="str">
        <f>IF(AND('[2]Mapa final'!$H$48="Muy Baja",'[2]Mapa final'!$L$48="Catastrófico"),CONCATENATE("R",'[2]Mapa final'!$A$48),"")</f>
        <v/>
      </c>
      <c r="AM42" s="374"/>
      <c r="AN42" s="374" t="str">
        <f>IF(AND('[2]Mapa final'!$H$54="Muy Baja",'[2]Mapa final'!$L$54="Catastrófico"),CONCATENATE("R",'[2]Mapa final'!$A$54),"")</f>
        <v/>
      </c>
      <c r="AO42" s="374"/>
      <c r="AP42" s="374" t="str">
        <f>IF(AND('[2]Mapa final'!$H$60="Muy Baja",'[2]Mapa final'!$L$60="Catastrófico"),CONCATENATE("R",'[2]Mapa final'!$A$60),"")</f>
        <v/>
      </c>
      <c r="AQ42" s="375"/>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2"/>
      <c r="BS42" s="92"/>
      <c r="BT42" s="92"/>
      <c r="BU42" s="92"/>
      <c r="BV42" s="92"/>
      <c r="BW42" s="92"/>
      <c r="BX42" s="92"/>
      <c r="BY42" s="92"/>
      <c r="BZ42" s="92"/>
      <c r="CA42" s="92"/>
      <c r="CB42" s="92"/>
      <c r="CC42" s="92"/>
      <c r="CD42" s="92"/>
      <c r="CE42" s="92"/>
      <c r="CF42" s="92"/>
    </row>
    <row r="43" spans="5:84" ht="14.1" customHeight="1">
      <c r="E43" s="92"/>
      <c r="F43" s="417"/>
      <c r="G43" s="417"/>
      <c r="H43" s="418"/>
      <c r="I43" s="327"/>
      <c r="J43" s="328"/>
      <c r="K43" s="328"/>
      <c r="L43" s="328"/>
      <c r="M43" s="329"/>
      <c r="N43" s="355"/>
      <c r="O43" s="356"/>
      <c r="P43" s="356"/>
      <c r="Q43" s="356"/>
      <c r="R43" s="356"/>
      <c r="S43" s="357"/>
      <c r="T43" s="355"/>
      <c r="U43" s="356"/>
      <c r="V43" s="356"/>
      <c r="W43" s="356"/>
      <c r="X43" s="356"/>
      <c r="Y43" s="357"/>
      <c r="Z43" s="337"/>
      <c r="AA43" s="338"/>
      <c r="AB43" s="338"/>
      <c r="AC43" s="338"/>
      <c r="AD43" s="338"/>
      <c r="AE43" s="339"/>
      <c r="AF43" s="382"/>
      <c r="AG43" s="383"/>
      <c r="AH43" s="383"/>
      <c r="AI43" s="383"/>
      <c r="AJ43" s="383"/>
      <c r="AK43" s="384"/>
      <c r="AL43" s="373"/>
      <c r="AM43" s="374"/>
      <c r="AN43" s="374"/>
      <c r="AO43" s="374"/>
      <c r="AP43" s="374"/>
      <c r="AQ43" s="375"/>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row>
    <row r="44" spans="5:84" ht="14.1" customHeight="1">
      <c r="E44" s="92"/>
      <c r="F44" s="417"/>
      <c r="G44" s="417"/>
      <c r="H44" s="418"/>
      <c r="I44" s="327"/>
      <c r="J44" s="328"/>
      <c r="K44" s="328"/>
      <c r="L44" s="328"/>
      <c r="M44" s="329"/>
      <c r="N44" s="355" t="str">
        <f>IF(AND('[2]Mapa final'!$H$66="Muy Baja",'[2]Mapa final'!$L$66="Leve"),CONCATENATE("R",'[2]Mapa final'!$A$66),"")</f>
        <v/>
      </c>
      <c r="O44" s="356"/>
      <c r="P44" s="356" t="e">
        <f>IF(AND('[2]Mapa final'!$H$72="Muy Baja",'[2]Mapa final'!$L$72="Leve"),CONCATENATE("R",'[2]Mapa final'!#REF!),"")</f>
        <v>#REF!</v>
      </c>
      <c r="Q44" s="356"/>
      <c r="R44" s="356" t="e">
        <f>IF(AND('[2]Mapa final'!$H$79="Muy Baja",'[2]Mapa final'!$L$79="Leve"),CONCATENATE("R",'[2]Mapa final'!$A$79),"")</f>
        <v>#REF!</v>
      </c>
      <c r="S44" s="357"/>
      <c r="T44" s="355" t="str">
        <f>IF(AND('[2]Mapa final'!$H$66="Muy Baja",'[2]Mapa final'!$L$66="Menor"),CONCATENATE("R",'[2]Mapa final'!$A$66),"")</f>
        <v/>
      </c>
      <c r="U44" s="356"/>
      <c r="V44" s="356" t="e">
        <f>IF(AND('[2]Mapa final'!$H$72="Muy Baja",'[2]Mapa final'!$L$72="Menor"),CONCATENATE("R",'[2]Mapa final'!#REF!),"")</f>
        <v>#REF!</v>
      </c>
      <c r="W44" s="356"/>
      <c r="X44" s="356" t="e">
        <f>IF(AND('[2]Mapa final'!$H$79="Muy Baja",'[2]Mapa final'!$L$79="Menor"),CONCATENATE("R",'[2]Mapa final'!$A$79),"")</f>
        <v>#REF!</v>
      </c>
      <c r="Y44" s="357"/>
      <c r="Z44" s="337" t="str">
        <f>IF(AND('[2]Mapa final'!$H$66="Muy Baja",'[2]Mapa final'!$L$66="Moderado"),CONCATENATE("R",'[2]Mapa final'!$A$66),"")</f>
        <v/>
      </c>
      <c r="AA44" s="338"/>
      <c r="AB44" s="338" t="e">
        <f>IF(AND('[2]Mapa final'!$H$72="Muy Baja",'[2]Mapa final'!$L$72="Moderado"),CONCATENATE("R",'[2]Mapa final'!#REF!),"")</f>
        <v>#REF!</v>
      </c>
      <c r="AC44" s="338"/>
      <c r="AD44" s="338" t="e">
        <f>IF(AND('[2]Mapa final'!$H$79="Muy Baja",'[2]Mapa final'!$L$79="Moderado"),CONCATENATE("R",'[2]Mapa final'!$A$79),"")</f>
        <v>#REF!</v>
      </c>
      <c r="AE44" s="339"/>
      <c r="AF44" s="382" t="str">
        <f>IF(AND('[2]Mapa final'!$H$66="Muy Baja",'[2]Mapa final'!$L$66="Mayor"),CONCATENATE("R",'[2]Mapa final'!$A$66),"")</f>
        <v/>
      </c>
      <c r="AG44" s="383"/>
      <c r="AH44" s="383" t="e">
        <f>IF(AND('[2]Mapa final'!$H$72="Muy Baja",'[2]Mapa final'!$L$72="Mayor"),CONCATENATE("R",'[2]Mapa final'!#REF!),"")</f>
        <v>#REF!</v>
      </c>
      <c r="AI44" s="383"/>
      <c r="AJ44" s="383" t="e">
        <f>IF(AND('[2]Mapa final'!$H$79="Muy Baja",'[2]Mapa final'!$L$79="Mayor"),CONCATENATE("R",'[2]Mapa final'!$A$79),"")</f>
        <v>#REF!</v>
      </c>
      <c r="AK44" s="384"/>
      <c r="AL44" s="373" t="str">
        <f>IF(AND('[2]Mapa final'!$H$66="Muy Baja",'[2]Mapa final'!$L$66="Catastrófico"),CONCATENATE("R",'[2]Mapa final'!$A$66),"")</f>
        <v/>
      </c>
      <c r="AM44" s="374"/>
      <c r="AN44" s="374" t="e">
        <f>IF(AND('[2]Mapa final'!$H$72="Muy Baja",'[2]Mapa final'!$L$72="Catastrófico"),CONCATENATE("R",'[2]Mapa final'!#REF!),"")</f>
        <v>#REF!</v>
      </c>
      <c r="AO44" s="374"/>
      <c r="AP44" s="374" t="e">
        <f>IF(AND('[2]Mapa final'!$H$79="Muy Baja",'[2]Mapa final'!$L$79="Catastrófico"),CONCATENATE("R",'[2]Mapa final'!$A$79),"")</f>
        <v>#REF!</v>
      </c>
      <c r="AQ44" s="375"/>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row>
    <row r="45" spans="5:84" ht="14.45" customHeight="1" thickBot="1">
      <c r="E45" s="92"/>
      <c r="F45" s="417"/>
      <c r="G45" s="417"/>
      <c r="H45" s="418"/>
      <c r="I45" s="330"/>
      <c r="J45" s="331"/>
      <c r="K45" s="331"/>
      <c r="L45" s="331"/>
      <c r="M45" s="332"/>
      <c r="N45" s="358"/>
      <c r="O45" s="359"/>
      <c r="P45" s="359"/>
      <c r="Q45" s="359"/>
      <c r="R45" s="359"/>
      <c r="S45" s="360"/>
      <c r="T45" s="358"/>
      <c r="U45" s="359"/>
      <c r="V45" s="359"/>
      <c r="W45" s="359"/>
      <c r="X45" s="359"/>
      <c r="Y45" s="360"/>
      <c r="Z45" s="340"/>
      <c r="AA45" s="341"/>
      <c r="AB45" s="341"/>
      <c r="AC45" s="341"/>
      <c r="AD45" s="341"/>
      <c r="AE45" s="342"/>
      <c r="AF45" s="385"/>
      <c r="AG45" s="386"/>
      <c r="AH45" s="386"/>
      <c r="AI45" s="386"/>
      <c r="AJ45" s="386"/>
      <c r="AK45" s="387"/>
      <c r="AL45" s="376"/>
      <c r="AM45" s="377"/>
      <c r="AN45" s="377"/>
      <c r="AO45" s="377"/>
      <c r="AP45" s="377"/>
      <c r="AQ45" s="378"/>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row>
    <row r="46" spans="5:84">
      <c r="E46" s="92"/>
      <c r="F46" s="92"/>
      <c r="G46" s="92"/>
      <c r="H46" s="92"/>
      <c r="I46" s="92"/>
      <c r="J46" s="92"/>
      <c r="K46" s="92"/>
      <c r="L46" s="92"/>
      <c r="M46" s="92"/>
      <c r="N46" s="324" t="s">
        <v>528</v>
      </c>
      <c r="O46" s="325"/>
      <c r="P46" s="325"/>
      <c r="Q46" s="325"/>
      <c r="R46" s="325"/>
      <c r="S46" s="326"/>
      <c r="T46" s="324" t="s">
        <v>529</v>
      </c>
      <c r="U46" s="325"/>
      <c r="V46" s="325"/>
      <c r="W46" s="325"/>
      <c r="X46" s="325"/>
      <c r="Y46" s="326"/>
      <c r="Z46" s="324" t="s">
        <v>530</v>
      </c>
      <c r="AA46" s="325"/>
      <c r="AB46" s="325"/>
      <c r="AC46" s="325"/>
      <c r="AD46" s="325"/>
      <c r="AE46" s="326"/>
      <c r="AF46" s="324" t="s">
        <v>531</v>
      </c>
      <c r="AG46" s="333"/>
      <c r="AH46" s="325"/>
      <c r="AI46" s="325"/>
      <c r="AJ46" s="325"/>
      <c r="AK46" s="326"/>
      <c r="AL46" s="324" t="s">
        <v>532</v>
      </c>
      <c r="AM46" s="325"/>
      <c r="AN46" s="325"/>
      <c r="AO46" s="325"/>
      <c r="AP46" s="325"/>
      <c r="AQ46" s="326"/>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row>
    <row r="47" spans="5:84">
      <c r="E47" s="92"/>
      <c r="F47" s="92"/>
      <c r="G47" s="92"/>
      <c r="H47" s="92"/>
      <c r="I47" s="92"/>
      <c r="J47" s="92"/>
      <c r="K47" s="92"/>
      <c r="L47" s="92"/>
      <c r="M47" s="92"/>
      <c r="N47" s="327"/>
      <c r="O47" s="328"/>
      <c r="P47" s="328"/>
      <c r="Q47" s="328"/>
      <c r="R47" s="328"/>
      <c r="S47" s="329"/>
      <c r="T47" s="327"/>
      <c r="U47" s="328"/>
      <c r="V47" s="328"/>
      <c r="W47" s="328"/>
      <c r="X47" s="328"/>
      <c r="Y47" s="329"/>
      <c r="Z47" s="327"/>
      <c r="AA47" s="328"/>
      <c r="AB47" s="328"/>
      <c r="AC47" s="328"/>
      <c r="AD47" s="328"/>
      <c r="AE47" s="329"/>
      <c r="AF47" s="327"/>
      <c r="AG47" s="328"/>
      <c r="AH47" s="328"/>
      <c r="AI47" s="328"/>
      <c r="AJ47" s="328"/>
      <c r="AK47" s="329"/>
      <c r="AL47" s="327"/>
      <c r="AM47" s="328"/>
      <c r="AN47" s="328"/>
      <c r="AO47" s="328"/>
      <c r="AP47" s="328"/>
      <c r="AQ47" s="329"/>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2"/>
      <c r="CB47" s="92"/>
      <c r="CC47" s="92"/>
      <c r="CD47" s="92"/>
      <c r="CE47" s="92"/>
      <c r="CF47" s="92"/>
    </row>
    <row r="48" spans="5:84">
      <c r="E48" s="92"/>
      <c r="F48" s="92"/>
      <c r="G48" s="92"/>
      <c r="H48" s="92"/>
      <c r="I48" s="92"/>
      <c r="J48" s="92"/>
      <c r="K48" s="92"/>
      <c r="L48" s="92"/>
      <c r="M48" s="92"/>
      <c r="N48" s="327"/>
      <c r="O48" s="328"/>
      <c r="P48" s="328"/>
      <c r="Q48" s="328"/>
      <c r="R48" s="328"/>
      <c r="S48" s="329"/>
      <c r="T48" s="327"/>
      <c r="U48" s="328"/>
      <c r="V48" s="328"/>
      <c r="W48" s="328"/>
      <c r="X48" s="328"/>
      <c r="Y48" s="329"/>
      <c r="Z48" s="327"/>
      <c r="AA48" s="328"/>
      <c r="AB48" s="328"/>
      <c r="AC48" s="328"/>
      <c r="AD48" s="328"/>
      <c r="AE48" s="329"/>
      <c r="AF48" s="327"/>
      <c r="AG48" s="328"/>
      <c r="AH48" s="328"/>
      <c r="AI48" s="328"/>
      <c r="AJ48" s="328"/>
      <c r="AK48" s="329"/>
      <c r="AL48" s="327"/>
      <c r="AM48" s="328"/>
      <c r="AN48" s="328"/>
      <c r="AO48" s="328"/>
      <c r="AP48" s="328"/>
      <c r="AQ48" s="329"/>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2"/>
      <c r="BR48" s="92"/>
      <c r="BS48" s="92"/>
      <c r="BT48" s="92"/>
      <c r="BU48" s="92"/>
      <c r="BV48" s="92"/>
      <c r="BW48" s="92"/>
      <c r="BX48" s="92"/>
      <c r="BY48" s="92"/>
      <c r="BZ48" s="92"/>
      <c r="CA48" s="92"/>
      <c r="CB48" s="92"/>
      <c r="CC48" s="92"/>
      <c r="CD48" s="92"/>
      <c r="CE48" s="92"/>
      <c r="CF48" s="92"/>
    </row>
    <row r="49" spans="5:84">
      <c r="E49" s="92"/>
      <c r="F49" s="92"/>
      <c r="G49" s="92"/>
      <c r="H49" s="92"/>
      <c r="I49" s="92"/>
      <c r="J49" s="92"/>
      <c r="K49" s="92"/>
      <c r="L49" s="92"/>
      <c r="M49" s="92"/>
      <c r="N49" s="327"/>
      <c r="O49" s="328"/>
      <c r="P49" s="328"/>
      <c r="Q49" s="328"/>
      <c r="R49" s="328"/>
      <c r="S49" s="329"/>
      <c r="T49" s="327"/>
      <c r="U49" s="328"/>
      <c r="V49" s="328"/>
      <c r="W49" s="328"/>
      <c r="X49" s="328"/>
      <c r="Y49" s="329"/>
      <c r="Z49" s="327"/>
      <c r="AA49" s="328"/>
      <c r="AB49" s="328"/>
      <c r="AC49" s="328"/>
      <c r="AD49" s="328"/>
      <c r="AE49" s="329"/>
      <c r="AF49" s="327"/>
      <c r="AG49" s="328"/>
      <c r="AH49" s="328"/>
      <c r="AI49" s="328"/>
      <c r="AJ49" s="328"/>
      <c r="AK49" s="329"/>
      <c r="AL49" s="327"/>
      <c r="AM49" s="328"/>
      <c r="AN49" s="328"/>
      <c r="AO49" s="328"/>
      <c r="AP49" s="328"/>
      <c r="AQ49" s="329"/>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2"/>
      <c r="CB49" s="92"/>
      <c r="CC49" s="92"/>
      <c r="CD49" s="92"/>
      <c r="CE49" s="92"/>
      <c r="CF49" s="92"/>
    </row>
    <row r="50" spans="5:84">
      <c r="E50" s="92"/>
      <c r="F50" s="92"/>
      <c r="G50" s="92"/>
      <c r="H50" s="92"/>
      <c r="I50" s="92"/>
      <c r="J50" s="92"/>
      <c r="K50" s="92"/>
      <c r="L50" s="92"/>
      <c r="M50" s="92"/>
      <c r="N50" s="327"/>
      <c r="O50" s="328"/>
      <c r="P50" s="328"/>
      <c r="Q50" s="328"/>
      <c r="R50" s="328"/>
      <c r="S50" s="329"/>
      <c r="T50" s="327"/>
      <c r="U50" s="328"/>
      <c r="V50" s="328"/>
      <c r="W50" s="328"/>
      <c r="X50" s="328"/>
      <c r="Y50" s="329"/>
      <c r="Z50" s="327"/>
      <c r="AA50" s="328"/>
      <c r="AB50" s="328"/>
      <c r="AC50" s="328"/>
      <c r="AD50" s="328"/>
      <c r="AE50" s="329"/>
      <c r="AF50" s="327"/>
      <c r="AG50" s="328"/>
      <c r="AH50" s="328"/>
      <c r="AI50" s="328"/>
      <c r="AJ50" s="328"/>
      <c r="AK50" s="329"/>
      <c r="AL50" s="327"/>
      <c r="AM50" s="328"/>
      <c r="AN50" s="328"/>
      <c r="AO50" s="328"/>
      <c r="AP50" s="328"/>
      <c r="AQ50" s="329"/>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2"/>
      <c r="BX50" s="92"/>
      <c r="BY50" s="92"/>
      <c r="BZ50" s="92"/>
      <c r="CA50" s="92"/>
      <c r="CB50" s="92"/>
      <c r="CC50" s="92"/>
      <c r="CD50" s="92"/>
      <c r="CE50" s="92"/>
      <c r="CF50" s="92"/>
    </row>
    <row r="51" spans="5:84" ht="14.45" thickBot="1">
      <c r="E51" s="92"/>
      <c r="F51" s="92"/>
      <c r="G51" s="92"/>
      <c r="H51" s="92"/>
      <c r="I51" s="92"/>
      <c r="J51" s="92"/>
      <c r="K51" s="92"/>
      <c r="L51" s="92"/>
      <c r="M51" s="92"/>
      <c r="N51" s="330"/>
      <c r="O51" s="331"/>
      <c r="P51" s="331"/>
      <c r="Q51" s="331"/>
      <c r="R51" s="331"/>
      <c r="S51" s="332"/>
      <c r="T51" s="330"/>
      <c r="U51" s="331"/>
      <c r="V51" s="331"/>
      <c r="W51" s="331"/>
      <c r="X51" s="331"/>
      <c r="Y51" s="332"/>
      <c r="Z51" s="330"/>
      <c r="AA51" s="331"/>
      <c r="AB51" s="331"/>
      <c r="AC51" s="331"/>
      <c r="AD51" s="331"/>
      <c r="AE51" s="332"/>
      <c r="AF51" s="330"/>
      <c r="AG51" s="331"/>
      <c r="AH51" s="331"/>
      <c r="AI51" s="331"/>
      <c r="AJ51" s="331"/>
      <c r="AK51" s="332"/>
      <c r="AL51" s="330"/>
      <c r="AM51" s="331"/>
      <c r="AN51" s="331"/>
      <c r="AO51" s="331"/>
      <c r="AP51" s="331"/>
      <c r="AQ51" s="33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2"/>
      <c r="BR51" s="92"/>
      <c r="BS51" s="92"/>
      <c r="BT51" s="92"/>
      <c r="BU51" s="92"/>
      <c r="BV51" s="92"/>
      <c r="BW51" s="92"/>
      <c r="BX51" s="92"/>
      <c r="BY51" s="92"/>
      <c r="BZ51" s="92"/>
      <c r="CA51" s="92"/>
      <c r="CB51" s="92"/>
      <c r="CC51" s="92"/>
      <c r="CD51" s="92"/>
      <c r="CE51" s="92"/>
      <c r="CF51" s="92"/>
    </row>
    <row r="52" spans="5:84">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92"/>
      <c r="CE52" s="92"/>
      <c r="CF52" s="92"/>
    </row>
    <row r="53" spans="5:84" ht="15" customHeight="1">
      <c r="E53" s="92"/>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2"/>
      <c r="CB53" s="92"/>
      <c r="CC53" s="92"/>
      <c r="CD53" s="92"/>
      <c r="CE53" s="92"/>
      <c r="CF53" s="92"/>
    </row>
    <row r="54" spans="5:84" ht="15" customHeight="1">
      <c r="E54" s="92"/>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2"/>
      <c r="AZ54" s="92"/>
      <c r="BA54" s="92"/>
      <c r="BB54" s="92"/>
      <c r="BC54" s="92"/>
      <c r="BD54" s="92"/>
      <c r="BE54" s="92"/>
      <c r="BF54" s="92"/>
      <c r="BG54" s="92"/>
      <c r="BH54" s="92"/>
      <c r="BI54" s="92"/>
      <c r="BJ54" s="92"/>
      <c r="BK54" s="92"/>
      <c r="BL54" s="92"/>
      <c r="BM54" s="92"/>
      <c r="BN54" s="92"/>
      <c r="BO54" s="92"/>
      <c r="BP54" s="92"/>
      <c r="BQ54" s="92"/>
      <c r="BR54" s="92"/>
      <c r="BS54" s="92"/>
      <c r="BT54" s="92"/>
      <c r="BU54" s="92"/>
      <c r="BV54" s="92"/>
      <c r="BW54" s="92"/>
      <c r="BX54" s="92"/>
      <c r="BY54" s="92"/>
      <c r="BZ54" s="92"/>
      <c r="CA54" s="92"/>
      <c r="CB54" s="92"/>
      <c r="CC54" s="92"/>
      <c r="CD54" s="92"/>
      <c r="CE54" s="92"/>
      <c r="CF54" s="92"/>
    </row>
    <row r="55" spans="5:84">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row>
    <row r="56" spans="5:84">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row>
    <row r="57" spans="5:84">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row>
    <row r="58" spans="5:84">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row>
    <row r="59" spans="5:84">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row>
    <row r="60" spans="5:84">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row>
    <row r="61" spans="5:84">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92"/>
      <c r="CF61" s="92"/>
    </row>
    <row r="62" spans="5:84">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row>
    <row r="63" spans="5:84">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2"/>
      <c r="CC63" s="92"/>
      <c r="CD63" s="92"/>
      <c r="CE63" s="92"/>
      <c r="CF63" s="92"/>
    </row>
    <row r="64" spans="5:84">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c r="BM64" s="92"/>
      <c r="BN64" s="92"/>
      <c r="BO64" s="92"/>
      <c r="BP64" s="92"/>
      <c r="BQ64" s="92"/>
      <c r="BR64" s="92"/>
      <c r="BS64" s="92"/>
      <c r="BT64" s="92"/>
      <c r="BU64" s="92"/>
      <c r="BV64" s="92"/>
      <c r="BW64" s="92"/>
      <c r="BX64" s="92"/>
      <c r="BY64" s="92"/>
      <c r="BZ64" s="92"/>
      <c r="CA64" s="92"/>
      <c r="CB64" s="92"/>
      <c r="CC64" s="92"/>
      <c r="CD64" s="92"/>
      <c r="CE64" s="92"/>
      <c r="CF64" s="92"/>
    </row>
    <row r="65" spans="5:84">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2"/>
      <c r="BR65" s="92"/>
      <c r="BS65" s="92"/>
      <c r="BT65" s="92"/>
      <c r="BU65" s="92"/>
      <c r="BV65" s="92"/>
      <c r="BW65" s="92"/>
      <c r="BX65" s="92"/>
      <c r="BY65" s="92"/>
      <c r="BZ65" s="92"/>
      <c r="CA65" s="92"/>
      <c r="CB65" s="92"/>
      <c r="CC65" s="92"/>
      <c r="CD65" s="92"/>
      <c r="CE65" s="92"/>
      <c r="CF65" s="92"/>
    </row>
    <row r="66" spans="5:84">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row>
    <row r="67" spans="5:84">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2"/>
      <c r="BR67" s="92"/>
      <c r="BS67" s="92"/>
      <c r="BT67" s="92"/>
      <c r="BU67" s="92"/>
      <c r="BV67" s="92"/>
      <c r="BW67" s="92"/>
      <c r="BX67" s="92"/>
      <c r="BY67" s="92"/>
      <c r="BZ67" s="92"/>
      <c r="CA67" s="92"/>
      <c r="CB67" s="92"/>
      <c r="CC67" s="92"/>
      <c r="CD67" s="92"/>
      <c r="CE67" s="92"/>
      <c r="CF67" s="92"/>
    </row>
    <row r="68" spans="5:84">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92"/>
      <c r="BT68" s="92"/>
      <c r="BU68" s="92"/>
      <c r="BV68" s="92"/>
      <c r="BW68" s="92"/>
      <c r="BX68" s="92"/>
      <c r="BY68" s="92"/>
      <c r="BZ68" s="92"/>
      <c r="CA68" s="92"/>
      <c r="CB68" s="92"/>
      <c r="CC68" s="92"/>
      <c r="CD68" s="92"/>
      <c r="CE68" s="92"/>
      <c r="CF68" s="92"/>
    </row>
    <row r="69" spans="5:84">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2"/>
      <c r="BR69" s="92"/>
      <c r="BS69" s="92"/>
      <c r="BT69" s="92"/>
      <c r="BU69" s="92"/>
      <c r="BV69" s="92"/>
      <c r="BW69" s="92"/>
      <c r="BX69" s="92"/>
      <c r="BY69" s="92"/>
      <c r="BZ69" s="92"/>
      <c r="CA69" s="92"/>
      <c r="CB69" s="92"/>
      <c r="CC69" s="92"/>
      <c r="CD69" s="92"/>
      <c r="CE69" s="92"/>
      <c r="CF69" s="92"/>
    </row>
    <row r="70" spans="5:84">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92"/>
      <c r="BR70" s="92"/>
      <c r="BS70" s="92"/>
      <c r="BT70" s="92"/>
      <c r="BU70" s="92"/>
      <c r="BV70" s="92"/>
      <c r="BW70" s="92"/>
      <c r="BX70" s="92"/>
      <c r="BY70" s="92"/>
      <c r="BZ70" s="92"/>
      <c r="CA70" s="92"/>
      <c r="CB70" s="92"/>
      <c r="CC70" s="92"/>
      <c r="CD70" s="92"/>
      <c r="CE70" s="92"/>
      <c r="CF70" s="92"/>
    </row>
    <row r="71" spans="5:84">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2"/>
      <c r="BQ71" s="92"/>
      <c r="BR71" s="92"/>
      <c r="BS71" s="92"/>
      <c r="BT71" s="92"/>
      <c r="BU71" s="92"/>
      <c r="BV71" s="92"/>
      <c r="BW71" s="92"/>
      <c r="BX71" s="92"/>
      <c r="BY71" s="92"/>
      <c r="BZ71" s="92"/>
      <c r="CA71" s="92"/>
      <c r="CB71" s="92"/>
      <c r="CC71" s="92"/>
      <c r="CD71" s="92"/>
      <c r="CE71" s="92"/>
      <c r="CF71" s="92"/>
    </row>
    <row r="72" spans="5:84">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2"/>
      <c r="BR72" s="92"/>
      <c r="BS72" s="92"/>
      <c r="BT72" s="92"/>
      <c r="BU72" s="92"/>
      <c r="BV72" s="92"/>
      <c r="BW72" s="92"/>
      <c r="BX72" s="92"/>
      <c r="BY72" s="92"/>
      <c r="BZ72" s="92"/>
      <c r="CA72" s="92"/>
      <c r="CB72" s="92"/>
      <c r="CC72" s="92"/>
      <c r="CD72" s="92"/>
      <c r="CE72" s="92"/>
      <c r="CF72" s="92"/>
    </row>
    <row r="73" spans="5:84">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2"/>
      <c r="BH73" s="92"/>
      <c r="BI73" s="92"/>
      <c r="BJ73" s="92"/>
      <c r="BK73" s="92"/>
      <c r="BL73" s="92"/>
      <c r="BM73" s="92"/>
      <c r="BN73" s="92"/>
      <c r="BO73" s="92"/>
      <c r="BP73" s="92"/>
      <c r="BQ73" s="92"/>
      <c r="BR73" s="92"/>
      <c r="BS73" s="92"/>
      <c r="BT73" s="92"/>
      <c r="BU73" s="92"/>
      <c r="BV73" s="92"/>
      <c r="BW73" s="92"/>
      <c r="BX73" s="92"/>
      <c r="BY73" s="92"/>
      <c r="BZ73" s="92"/>
      <c r="CA73" s="92"/>
      <c r="CB73" s="92"/>
      <c r="CC73" s="92"/>
      <c r="CD73" s="92"/>
      <c r="CE73" s="92"/>
      <c r="CF73" s="92"/>
    </row>
    <row r="74" spans="5:84">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92"/>
      <c r="BQ74" s="92"/>
      <c r="BR74" s="92"/>
      <c r="BS74" s="92"/>
      <c r="BT74" s="92"/>
      <c r="BU74" s="92"/>
      <c r="BV74" s="92"/>
      <c r="BW74" s="92"/>
      <c r="BX74" s="92"/>
      <c r="BY74" s="92"/>
      <c r="BZ74" s="92"/>
      <c r="CA74" s="92"/>
      <c r="CB74" s="92"/>
      <c r="CC74" s="92"/>
      <c r="CD74" s="92"/>
      <c r="CE74" s="92"/>
      <c r="CF74" s="92"/>
    </row>
    <row r="75" spans="5:84">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c r="BM75" s="92"/>
      <c r="BN75" s="92"/>
      <c r="BO75" s="92"/>
      <c r="BP75" s="92"/>
      <c r="BQ75" s="92"/>
      <c r="BR75" s="92"/>
      <c r="BS75" s="92"/>
      <c r="BT75" s="92"/>
      <c r="BU75" s="92"/>
      <c r="BV75" s="92"/>
      <c r="BW75" s="92"/>
      <c r="BX75" s="92"/>
      <c r="BY75" s="92"/>
      <c r="BZ75" s="92"/>
      <c r="CA75" s="92"/>
      <c r="CB75" s="92"/>
      <c r="CC75" s="92"/>
      <c r="CD75" s="92"/>
      <c r="CE75" s="92"/>
      <c r="CF75" s="92"/>
    </row>
    <row r="76" spans="5:84">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c r="BJ76" s="92"/>
      <c r="BK76" s="92"/>
      <c r="BL76" s="92"/>
      <c r="BM76" s="92"/>
      <c r="BN76" s="92"/>
      <c r="BO76" s="92"/>
      <c r="BP76" s="92"/>
      <c r="BQ76" s="92"/>
      <c r="BR76" s="92"/>
      <c r="BS76" s="92"/>
      <c r="BT76" s="92"/>
      <c r="BU76" s="92"/>
      <c r="BV76" s="92"/>
      <c r="BW76" s="92"/>
      <c r="BX76" s="92"/>
      <c r="BY76" s="92"/>
      <c r="BZ76" s="92"/>
      <c r="CA76" s="92"/>
      <c r="CB76" s="92"/>
      <c r="CC76" s="92"/>
      <c r="CD76" s="92"/>
      <c r="CE76" s="92"/>
      <c r="CF76" s="92"/>
    </row>
    <row r="77" spans="5:84">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c r="BM77" s="92"/>
      <c r="BN77" s="92"/>
      <c r="BO77" s="92"/>
      <c r="BP77" s="92"/>
      <c r="BQ77" s="92"/>
      <c r="BR77" s="92"/>
      <c r="BS77" s="92"/>
      <c r="BT77" s="92"/>
      <c r="BU77" s="92"/>
      <c r="BV77" s="92"/>
      <c r="BW77" s="92"/>
      <c r="BX77" s="92"/>
      <c r="BY77" s="92"/>
      <c r="BZ77" s="92"/>
      <c r="CA77" s="92"/>
      <c r="CB77" s="92"/>
      <c r="CC77" s="92"/>
      <c r="CD77" s="92"/>
      <c r="CE77" s="92"/>
      <c r="CF77" s="92"/>
    </row>
    <row r="78" spans="5:84">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92"/>
      <c r="BQ78" s="92"/>
      <c r="BR78" s="92"/>
      <c r="BS78" s="92"/>
      <c r="BT78" s="92"/>
      <c r="BU78" s="92"/>
      <c r="BV78" s="92"/>
      <c r="BW78" s="92"/>
      <c r="BX78" s="92"/>
      <c r="BY78" s="92"/>
      <c r="BZ78" s="92"/>
      <c r="CA78" s="92"/>
      <c r="CB78" s="92"/>
      <c r="CC78" s="92"/>
      <c r="CD78" s="92"/>
      <c r="CE78" s="92"/>
      <c r="CF78" s="92"/>
    </row>
    <row r="79" spans="5:84">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row>
    <row r="80" spans="5:84">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92"/>
    </row>
    <row r="81" spans="5:67">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c r="BJ81" s="92"/>
      <c r="BK81" s="92"/>
      <c r="BL81" s="92"/>
      <c r="BM81" s="92"/>
      <c r="BN81" s="92"/>
      <c r="BO81" s="92"/>
    </row>
    <row r="82" spans="5:67">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row>
    <row r="83" spans="5:67">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row>
    <row r="84" spans="5:67">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row>
    <row r="85" spans="5:67">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c r="BH85" s="92"/>
      <c r="BI85" s="92"/>
      <c r="BJ85" s="92"/>
      <c r="BK85" s="92"/>
      <c r="BL85" s="92"/>
      <c r="BM85" s="92"/>
      <c r="BN85" s="92"/>
      <c r="BO85" s="92"/>
    </row>
    <row r="86" spans="5:67">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row>
    <row r="87" spans="5:67">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92"/>
      <c r="BI87" s="92"/>
      <c r="BJ87" s="92"/>
      <c r="BK87" s="92"/>
      <c r="BL87" s="92"/>
      <c r="BM87" s="92"/>
      <c r="BN87" s="92"/>
      <c r="BO87" s="92"/>
    </row>
    <row r="88" spans="5:67">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2"/>
      <c r="BA88" s="92"/>
      <c r="BB88" s="92"/>
      <c r="BC88" s="92"/>
      <c r="BD88" s="92"/>
      <c r="BE88" s="92"/>
      <c r="BF88" s="92"/>
      <c r="BG88" s="92"/>
      <c r="BH88" s="92"/>
      <c r="BI88" s="92"/>
      <c r="BJ88" s="92"/>
      <c r="BK88" s="92"/>
      <c r="BL88" s="92"/>
      <c r="BM88" s="92"/>
      <c r="BN88" s="92"/>
      <c r="BO88" s="92"/>
    </row>
    <row r="89" spans="5:67">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c r="BA89" s="92"/>
      <c r="BB89" s="92"/>
      <c r="BC89" s="92"/>
      <c r="BD89" s="92"/>
      <c r="BE89" s="92"/>
      <c r="BF89" s="92"/>
      <c r="BG89" s="92"/>
      <c r="BH89" s="92"/>
      <c r="BI89" s="92"/>
      <c r="BJ89" s="92"/>
      <c r="BK89" s="92"/>
      <c r="BL89" s="92"/>
      <c r="BM89" s="92"/>
      <c r="BN89" s="92"/>
      <c r="BO89" s="92"/>
    </row>
    <row r="90" spans="5:67">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row>
    <row r="91" spans="5:67">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92"/>
      <c r="BE91" s="92"/>
      <c r="BF91" s="92"/>
      <c r="BG91" s="92"/>
      <c r="BH91" s="92"/>
      <c r="BI91" s="92"/>
      <c r="BJ91" s="92"/>
      <c r="BK91" s="92"/>
      <c r="BL91" s="92"/>
      <c r="BM91" s="92"/>
      <c r="BN91" s="92"/>
      <c r="BO91" s="92"/>
    </row>
    <row r="92" spans="5:67">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c r="BK92" s="92"/>
      <c r="BL92" s="92"/>
      <c r="BM92" s="92"/>
      <c r="BN92" s="92"/>
      <c r="BO92" s="92"/>
    </row>
    <row r="93" spans="5:67">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2"/>
      <c r="AY93" s="92"/>
      <c r="AZ93" s="92"/>
      <c r="BA93" s="92"/>
      <c r="BB93" s="92"/>
      <c r="BC93" s="92"/>
      <c r="BD93" s="92"/>
      <c r="BE93" s="92"/>
      <c r="BF93" s="92"/>
      <c r="BG93" s="92"/>
      <c r="BH93" s="92"/>
      <c r="BI93" s="92"/>
      <c r="BJ93" s="92"/>
      <c r="BK93" s="92"/>
      <c r="BL93" s="92"/>
      <c r="BM93" s="92"/>
      <c r="BN93" s="92"/>
      <c r="BO93" s="92"/>
    </row>
    <row r="94" spans="5:67">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2"/>
      <c r="AR94" s="92"/>
      <c r="AS94" s="92"/>
      <c r="AT94" s="92"/>
      <c r="AU94" s="92"/>
      <c r="AV94" s="92"/>
      <c r="AW94" s="92"/>
      <c r="AX94" s="92"/>
      <c r="AY94" s="92"/>
      <c r="AZ94" s="92"/>
      <c r="BA94" s="92"/>
      <c r="BB94" s="92"/>
      <c r="BC94" s="92"/>
      <c r="BD94" s="92"/>
      <c r="BE94" s="92"/>
      <c r="BF94" s="92"/>
      <c r="BG94" s="92"/>
      <c r="BH94" s="92"/>
      <c r="BI94" s="92"/>
      <c r="BJ94" s="92"/>
      <c r="BK94" s="92"/>
      <c r="BL94" s="92"/>
      <c r="BM94" s="92"/>
      <c r="BN94" s="92"/>
      <c r="BO94" s="92"/>
    </row>
    <row r="95" spans="5:67">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M95" s="92"/>
      <c r="AN95" s="92"/>
      <c r="AO95" s="92"/>
      <c r="AP95" s="92"/>
      <c r="AQ95" s="92"/>
      <c r="AR95" s="92"/>
      <c r="AS95" s="92"/>
      <c r="AT95" s="92"/>
      <c r="AU95" s="92"/>
      <c r="AV95" s="92"/>
      <c r="AW95" s="92"/>
      <c r="AX95" s="92"/>
      <c r="AY95" s="92"/>
      <c r="AZ95" s="92"/>
      <c r="BA95" s="92"/>
      <c r="BB95" s="92"/>
      <c r="BC95" s="92"/>
      <c r="BD95" s="92"/>
      <c r="BE95" s="92"/>
      <c r="BF95" s="92"/>
      <c r="BG95" s="92"/>
      <c r="BH95" s="92"/>
      <c r="BI95" s="92"/>
      <c r="BJ95" s="92"/>
      <c r="BK95" s="92"/>
      <c r="BL95" s="92"/>
      <c r="BM95" s="92"/>
      <c r="BN95" s="92"/>
      <c r="BO95" s="92"/>
    </row>
    <row r="96" spans="5:67">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92"/>
      <c r="AN96" s="92"/>
      <c r="AO96" s="92"/>
      <c r="AP96" s="92"/>
      <c r="AQ96" s="92"/>
      <c r="AR96" s="92"/>
      <c r="AS96" s="92"/>
      <c r="AT96" s="92"/>
      <c r="AU96" s="92"/>
      <c r="AV96" s="92"/>
      <c r="AW96" s="92"/>
      <c r="AX96" s="92"/>
      <c r="AY96" s="92"/>
      <c r="AZ96" s="92"/>
      <c r="BA96" s="92"/>
      <c r="BB96" s="92"/>
      <c r="BC96" s="92"/>
      <c r="BD96" s="92"/>
      <c r="BE96" s="92"/>
      <c r="BF96" s="92"/>
      <c r="BG96" s="92"/>
      <c r="BH96" s="92"/>
      <c r="BI96" s="92"/>
      <c r="BJ96" s="92"/>
      <c r="BK96" s="92"/>
      <c r="BL96" s="92"/>
      <c r="BM96" s="92"/>
      <c r="BN96" s="92"/>
      <c r="BO96" s="92"/>
    </row>
    <row r="97" spans="5:67">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row>
    <row r="98" spans="5:67">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c r="BA98" s="92"/>
      <c r="BB98" s="92"/>
      <c r="BC98" s="92"/>
      <c r="BD98" s="92"/>
      <c r="BE98" s="92"/>
      <c r="BF98" s="92"/>
      <c r="BG98" s="92"/>
      <c r="BH98" s="92"/>
      <c r="BI98" s="92"/>
      <c r="BJ98" s="92"/>
      <c r="BK98" s="92"/>
      <c r="BL98" s="92"/>
      <c r="BM98" s="92"/>
      <c r="BN98" s="92"/>
      <c r="BO98" s="92"/>
    </row>
    <row r="99" spans="5:67">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92"/>
      <c r="AN99" s="92"/>
      <c r="AO99" s="92"/>
      <c r="AP99" s="92"/>
      <c r="AQ99" s="92"/>
      <c r="AR99" s="92"/>
      <c r="AS99" s="92"/>
      <c r="AT99" s="92"/>
      <c r="AU99" s="92"/>
      <c r="AV99" s="92"/>
      <c r="AW99" s="92"/>
      <c r="AX99" s="92"/>
      <c r="AY99" s="92"/>
      <c r="AZ99" s="92"/>
      <c r="BA99" s="92"/>
      <c r="BB99" s="92"/>
      <c r="BC99" s="92"/>
      <c r="BD99" s="92"/>
      <c r="BE99" s="92"/>
      <c r="BF99" s="92"/>
      <c r="BG99" s="92"/>
      <c r="BH99" s="92"/>
      <c r="BI99" s="92"/>
      <c r="BJ99" s="92"/>
      <c r="BK99" s="92"/>
      <c r="BL99" s="92"/>
      <c r="BM99" s="92"/>
      <c r="BN99" s="92"/>
      <c r="BO99" s="92"/>
    </row>
    <row r="100" spans="5:67">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row>
    <row r="101" spans="5:67">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row>
    <row r="102" spans="5:67">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c r="BA102" s="92"/>
      <c r="BB102" s="92"/>
      <c r="BC102" s="92"/>
      <c r="BD102" s="92"/>
      <c r="BE102" s="92"/>
      <c r="BF102" s="92"/>
      <c r="BG102" s="92"/>
      <c r="BH102" s="92"/>
      <c r="BI102" s="92"/>
      <c r="BJ102" s="92"/>
      <c r="BK102" s="92"/>
      <c r="BL102" s="92"/>
      <c r="BM102" s="92"/>
      <c r="BN102" s="92"/>
      <c r="BO102" s="92"/>
    </row>
    <row r="103" spans="5:67">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row>
    <row r="104" spans="5:67">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92"/>
      <c r="AX104" s="92"/>
      <c r="AY104" s="92"/>
      <c r="AZ104" s="92"/>
      <c r="BA104" s="92"/>
      <c r="BB104" s="92"/>
      <c r="BC104" s="92"/>
      <c r="BD104" s="92"/>
      <c r="BE104" s="92"/>
      <c r="BF104" s="92"/>
      <c r="BG104" s="92"/>
      <c r="BH104" s="92"/>
      <c r="BI104" s="92"/>
      <c r="BJ104" s="92"/>
      <c r="BK104" s="92"/>
      <c r="BL104" s="92"/>
      <c r="BM104" s="92"/>
      <c r="BN104" s="92"/>
      <c r="BO104" s="92"/>
    </row>
    <row r="105" spans="5:67">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c r="AO105" s="92"/>
      <c r="AP105" s="92"/>
      <c r="AQ105" s="92"/>
      <c r="AR105" s="92"/>
      <c r="AS105" s="92"/>
      <c r="AT105" s="92"/>
      <c r="AU105" s="92"/>
      <c r="AV105" s="92"/>
      <c r="AW105" s="92"/>
      <c r="AX105" s="92"/>
      <c r="AY105" s="92"/>
      <c r="AZ105" s="92"/>
      <c r="BA105" s="92"/>
      <c r="BB105" s="92"/>
      <c r="BC105" s="92"/>
      <c r="BD105" s="92"/>
      <c r="BE105" s="92"/>
      <c r="BF105" s="92"/>
      <c r="BG105" s="92"/>
      <c r="BH105" s="92"/>
      <c r="BI105" s="92"/>
      <c r="BJ105" s="92"/>
      <c r="BK105" s="92"/>
      <c r="BL105" s="92"/>
      <c r="BM105" s="92"/>
      <c r="BN105" s="92"/>
      <c r="BO105" s="92"/>
    </row>
    <row r="106" spans="5:67">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2"/>
      <c r="AY106" s="92"/>
      <c r="AZ106" s="92"/>
      <c r="BA106" s="92"/>
      <c r="BB106" s="92"/>
      <c r="BC106" s="92"/>
      <c r="BD106" s="92"/>
      <c r="BE106" s="92"/>
      <c r="BF106" s="92"/>
      <c r="BG106" s="92"/>
      <c r="BH106" s="92"/>
      <c r="BI106" s="92"/>
      <c r="BJ106" s="92"/>
      <c r="BK106" s="92"/>
      <c r="BL106" s="92"/>
      <c r="BM106" s="92"/>
      <c r="BN106" s="92"/>
      <c r="BO106" s="92"/>
    </row>
    <row r="107" spans="5:67">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c r="AO107" s="92"/>
      <c r="AP107" s="92"/>
      <c r="AQ107" s="92"/>
      <c r="AR107" s="92"/>
      <c r="AS107" s="92"/>
      <c r="AT107" s="92"/>
      <c r="AU107" s="92"/>
      <c r="AV107" s="92"/>
      <c r="AW107" s="92"/>
      <c r="AX107" s="92"/>
      <c r="AY107" s="92"/>
      <c r="AZ107" s="92"/>
      <c r="BA107" s="92"/>
      <c r="BB107" s="92"/>
      <c r="BC107" s="92"/>
      <c r="BD107" s="92"/>
      <c r="BE107" s="92"/>
      <c r="BF107" s="92"/>
      <c r="BG107" s="92"/>
      <c r="BH107" s="92"/>
      <c r="BI107" s="92"/>
      <c r="BJ107" s="92"/>
      <c r="BK107" s="92"/>
      <c r="BL107" s="92"/>
      <c r="BM107" s="92"/>
      <c r="BN107" s="92"/>
      <c r="BO107" s="92"/>
    </row>
    <row r="108" spans="5:67">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c r="AO108" s="92"/>
      <c r="AP108" s="92"/>
      <c r="AQ108" s="92"/>
      <c r="AR108" s="92"/>
      <c r="AS108" s="92"/>
      <c r="AT108" s="92"/>
      <c r="AU108" s="92"/>
      <c r="AV108" s="92"/>
      <c r="AW108" s="92"/>
      <c r="AX108" s="92"/>
      <c r="AY108" s="92"/>
      <c r="AZ108" s="92"/>
      <c r="BA108" s="92"/>
      <c r="BB108" s="92"/>
      <c r="BC108" s="92"/>
      <c r="BD108" s="92"/>
      <c r="BE108" s="92"/>
      <c r="BF108" s="92"/>
      <c r="BG108" s="92"/>
      <c r="BH108" s="92"/>
      <c r="BI108" s="92"/>
      <c r="BJ108" s="92"/>
      <c r="BK108" s="92"/>
      <c r="BL108" s="92"/>
      <c r="BM108" s="92"/>
      <c r="BN108" s="92"/>
      <c r="BO108" s="92"/>
    </row>
    <row r="109" spans="5:67">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c r="AO109" s="92"/>
      <c r="AP109" s="92"/>
      <c r="AQ109" s="92"/>
      <c r="AR109" s="92"/>
      <c r="AS109" s="92"/>
      <c r="AT109" s="92"/>
      <c r="AU109" s="92"/>
      <c r="AV109" s="92"/>
      <c r="AW109" s="92"/>
      <c r="AX109" s="92"/>
      <c r="AY109" s="92"/>
      <c r="AZ109" s="92"/>
      <c r="BA109" s="92"/>
      <c r="BB109" s="92"/>
      <c r="BC109" s="92"/>
      <c r="BD109" s="92"/>
      <c r="BE109" s="92"/>
      <c r="BF109" s="92"/>
      <c r="BG109" s="92"/>
      <c r="BH109" s="92"/>
      <c r="BI109" s="92"/>
      <c r="BJ109" s="92"/>
      <c r="BK109" s="92"/>
      <c r="BL109" s="92"/>
      <c r="BM109" s="92"/>
      <c r="BN109" s="92"/>
      <c r="BO109" s="92"/>
    </row>
    <row r="110" spans="5:67">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2"/>
      <c r="AL110" s="92"/>
      <c r="AM110" s="92"/>
      <c r="AN110" s="92"/>
      <c r="AO110" s="92"/>
      <c r="AP110" s="92"/>
      <c r="AQ110" s="92"/>
      <c r="AR110" s="92"/>
      <c r="AS110" s="92"/>
      <c r="AT110" s="92"/>
      <c r="AU110" s="92"/>
      <c r="AV110" s="92"/>
      <c r="AW110" s="92"/>
      <c r="AX110" s="92"/>
      <c r="AY110" s="92"/>
      <c r="AZ110" s="92"/>
      <c r="BA110" s="92"/>
      <c r="BB110" s="92"/>
      <c r="BC110" s="92"/>
      <c r="BD110" s="92"/>
      <c r="BE110" s="92"/>
      <c r="BF110" s="92"/>
      <c r="BG110" s="92"/>
      <c r="BH110" s="92"/>
      <c r="BI110" s="92"/>
      <c r="BJ110" s="92"/>
      <c r="BK110" s="92"/>
      <c r="BL110" s="92"/>
      <c r="BM110" s="92"/>
      <c r="BN110" s="92"/>
      <c r="BO110" s="92"/>
    </row>
    <row r="111" spans="5:67">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2"/>
      <c r="AW111" s="92"/>
      <c r="AX111" s="92"/>
      <c r="AY111" s="92"/>
      <c r="AZ111" s="92"/>
      <c r="BA111" s="92"/>
      <c r="BB111" s="92"/>
      <c r="BC111" s="92"/>
      <c r="BD111" s="92"/>
      <c r="BE111" s="92"/>
      <c r="BF111" s="92"/>
      <c r="BG111" s="92"/>
      <c r="BH111" s="92"/>
      <c r="BI111" s="92"/>
      <c r="BJ111" s="92"/>
      <c r="BK111" s="92"/>
      <c r="BL111" s="92"/>
      <c r="BM111" s="92"/>
      <c r="BN111" s="92"/>
      <c r="BO111" s="92"/>
    </row>
    <row r="112" spans="5:67">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2"/>
      <c r="AO112" s="92"/>
      <c r="AP112" s="92"/>
      <c r="AQ112" s="92"/>
      <c r="AR112" s="92"/>
      <c r="AS112" s="92"/>
      <c r="AT112" s="92"/>
      <c r="AU112" s="92"/>
      <c r="AV112" s="92"/>
      <c r="AW112" s="92"/>
      <c r="AX112" s="92"/>
      <c r="AY112" s="92"/>
      <c r="AZ112" s="92"/>
      <c r="BA112" s="92"/>
      <c r="BB112" s="92"/>
      <c r="BC112" s="92"/>
      <c r="BD112" s="92"/>
      <c r="BE112" s="92"/>
      <c r="BF112" s="92"/>
      <c r="BG112" s="92"/>
      <c r="BH112" s="92"/>
      <c r="BI112" s="92"/>
      <c r="BJ112" s="92"/>
      <c r="BK112" s="92"/>
      <c r="BL112" s="92"/>
      <c r="BM112" s="92"/>
      <c r="BN112" s="92"/>
      <c r="BO112" s="92"/>
    </row>
    <row r="113" spans="5:67">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2"/>
      <c r="AK113" s="92"/>
      <c r="AL113" s="92"/>
      <c r="AM113" s="92"/>
      <c r="AN113" s="92"/>
      <c r="AO113" s="92"/>
      <c r="AP113" s="92"/>
      <c r="AQ113" s="92"/>
      <c r="AR113" s="92"/>
      <c r="AS113" s="92"/>
      <c r="AT113" s="92"/>
      <c r="AU113" s="92"/>
      <c r="AV113" s="92"/>
      <c r="AW113" s="92"/>
      <c r="AX113" s="92"/>
      <c r="AY113" s="92"/>
      <c r="AZ113" s="92"/>
      <c r="BA113" s="92"/>
      <c r="BB113" s="92"/>
      <c r="BC113" s="92"/>
      <c r="BD113" s="92"/>
      <c r="BE113" s="92"/>
      <c r="BF113" s="92"/>
      <c r="BG113" s="92"/>
      <c r="BH113" s="92"/>
      <c r="BI113" s="92"/>
      <c r="BJ113" s="92"/>
      <c r="BK113" s="92"/>
      <c r="BL113" s="92"/>
      <c r="BM113" s="92"/>
      <c r="BN113" s="92"/>
      <c r="BO113" s="92"/>
    </row>
    <row r="114" spans="5:67">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c r="AD114" s="92"/>
      <c r="AE114" s="92"/>
      <c r="AF114" s="92"/>
      <c r="AG114" s="92"/>
      <c r="AH114" s="92"/>
      <c r="AI114" s="92"/>
      <c r="AJ114" s="92"/>
      <c r="AK114" s="92"/>
      <c r="AL114" s="92"/>
      <c r="AM114" s="92"/>
      <c r="AN114" s="92"/>
      <c r="AO114" s="92"/>
      <c r="AP114" s="92"/>
      <c r="AQ114" s="92"/>
      <c r="AR114" s="92"/>
      <c r="AS114" s="92"/>
      <c r="AT114" s="92"/>
      <c r="AU114" s="92"/>
      <c r="AV114" s="92"/>
      <c r="AW114" s="92"/>
      <c r="AX114" s="92"/>
      <c r="AY114" s="92"/>
      <c r="AZ114" s="92"/>
      <c r="BA114" s="92"/>
      <c r="BB114" s="92"/>
      <c r="BC114" s="92"/>
      <c r="BD114" s="92"/>
      <c r="BE114" s="92"/>
      <c r="BF114" s="92"/>
      <c r="BG114" s="92"/>
      <c r="BH114" s="92"/>
      <c r="BI114" s="92"/>
      <c r="BJ114" s="92"/>
      <c r="BK114" s="92"/>
      <c r="BL114" s="92"/>
      <c r="BM114" s="92"/>
      <c r="BN114" s="92"/>
      <c r="BO114" s="92"/>
    </row>
    <row r="115" spans="5:67">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92"/>
      <c r="AF115" s="92"/>
      <c r="AG115" s="92"/>
      <c r="AH115" s="92"/>
      <c r="AI115" s="92"/>
      <c r="AJ115" s="92"/>
      <c r="AK115" s="92"/>
      <c r="AL115" s="92"/>
      <c r="AM115" s="92"/>
      <c r="AN115" s="92"/>
      <c r="AO115" s="92"/>
      <c r="AP115" s="92"/>
      <c r="AQ115" s="92"/>
      <c r="AR115" s="92"/>
      <c r="AS115" s="92"/>
      <c r="AT115" s="92"/>
      <c r="AU115" s="92"/>
      <c r="AV115" s="92"/>
      <c r="AW115" s="92"/>
      <c r="AX115" s="92"/>
      <c r="AY115" s="92"/>
      <c r="AZ115" s="92"/>
      <c r="BA115" s="92"/>
      <c r="BB115" s="92"/>
      <c r="BC115" s="92"/>
      <c r="BD115" s="92"/>
      <c r="BE115" s="92"/>
      <c r="BF115" s="92"/>
      <c r="BG115" s="92"/>
      <c r="BH115" s="92"/>
      <c r="BI115" s="92"/>
      <c r="BJ115" s="92"/>
      <c r="BK115" s="92"/>
      <c r="BL115" s="92"/>
      <c r="BM115" s="92"/>
      <c r="BN115" s="92"/>
      <c r="BO115" s="92"/>
    </row>
    <row r="116" spans="5:67">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c r="AK116" s="92"/>
      <c r="AL116" s="92"/>
      <c r="AM116" s="92"/>
      <c r="AN116" s="92"/>
      <c r="AO116" s="92"/>
      <c r="AP116" s="92"/>
      <c r="AQ116" s="92"/>
      <c r="AR116" s="92"/>
      <c r="AS116" s="92"/>
      <c r="AT116" s="92"/>
      <c r="AU116" s="92"/>
      <c r="AV116" s="92"/>
      <c r="AW116" s="92"/>
      <c r="AX116" s="92"/>
      <c r="AY116" s="92"/>
      <c r="AZ116" s="92"/>
      <c r="BA116" s="92"/>
      <c r="BB116" s="92"/>
      <c r="BC116" s="92"/>
      <c r="BD116" s="92"/>
      <c r="BE116" s="92"/>
      <c r="BF116" s="92"/>
      <c r="BG116" s="92"/>
      <c r="BH116" s="92"/>
      <c r="BI116" s="92"/>
      <c r="BJ116" s="92"/>
      <c r="BK116" s="92"/>
      <c r="BL116" s="92"/>
      <c r="BM116" s="92"/>
      <c r="BN116" s="92"/>
      <c r="BO116" s="92"/>
    </row>
    <row r="117" spans="5:67">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c r="AD117" s="92"/>
      <c r="AE117" s="92"/>
      <c r="AF117" s="92"/>
      <c r="AG117" s="92"/>
      <c r="AH117" s="92"/>
      <c r="AI117" s="92"/>
      <c r="AJ117" s="92"/>
      <c r="AK117" s="92"/>
      <c r="AL117" s="92"/>
      <c r="AM117" s="92"/>
      <c r="AN117" s="92"/>
      <c r="AO117" s="92"/>
      <c r="AP117" s="92"/>
      <c r="AQ117" s="92"/>
      <c r="AR117" s="92"/>
      <c r="AS117" s="92"/>
      <c r="AT117" s="92"/>
      <c r="AU117" s="92"/>
      <c r="AV117" s="92"/>
      <c r="AW117" s="92"/>
      <c r="AX117" s="92"/>
      <c r="AY117" s="92"/>
      <c r="AZ117" s="92"/>
      <c r="BA117" s="92"/>
      <c r="BB117" s="92"/>
      <c r="BC117" s="92"/>
      <c r="BD117" s="92"/>
      <c r="BE117" s="92"/>
      <c r="BF117" s="92"/>
      <c r="BG117" s="92"/>
      <c r="BH117" s="92"/>
      <c r="BI117" s="92"/>
      <c r="BJ117" s="92"/>
      <c r="BK117" s="92"/>
      <c r="BL117" s="92"/>
      <c r="BM117" s="92"/>
      <c r="BN117" s="92"/>
      <c r="BO117" s="92"/>
    </row>
    <row r="118" spans="5:67">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92"/>
      <c r="BE118" s="92"/>
      <c r="BF118" s="92"/>
      <c r="BG118" s="92"/>
      <c r="BH118" s="92"/>
      <c r="BI118" s="92"/>
      <c r="BJ118" s="92"/>
      <c r="BK118" s="92"/>
      <c r="BL118" s="92"/>
      <c r="BM118" s="92"/>
      <c r="BN118" s="92"/>
      <c r="BO118" s="92"/>
    </row>
    <row r="119" spans="5:67">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92"/>
      <c r="AE119" s="92"/>
      <c r="AF119" s="92"/>
      <c r="AG119" s="92"/>
      <c r="AH119" s="92"/>
      <c r="AI119" s="92"/>
      <c r="AJ119" s="92"/>
      <c r="AK119" s="92"/>
      <c r="AL119" s="92"/>
      <c r="AM119" s="92"/>
      <c r="AN119" s="92"/>
      <c r="AO119" s="92"/>
      <c r="AP119" s="92"/>
      <c r="AQ119" s="92"/>
      <c r="AR119" s="92"/>
      <c r="AS119" s="92"/>
      <c r="AT119" s="92"/>
      <c r="AU119" s="92"/>
      <c r="AV119" s="92"/>
      <c r="AW119" s="92"/>
      <c r="AX119" s="92"/>
      <c r="AY119" s="92"/>
      <c r="AZ119" s="92"/>
      <c r="BA119" s="92"/>
      <c r="BB119" s="92"/>
      <c r="BC119" s="92"/>
      <c r="BD119" s="92"/>
      <c r="BE119" s="92"/>
      <c r="BF119" s="92"/>
      <c r="BG119" s="92"/>
      <c r="BH119" s="92"/>
      <c r="BI119" s="92"/>
      <c r="BJ119" s="92"/>
      <c r="BK119" s="92"/>
      <c r="BL119" s="92"/>
      <c r="BM119" s="92"/>
      <c r="BN119" s="92"/>
      <c r="BO119" s="92"/>
    </row>
    <row r="120" spans="5:67">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c r="AE120" s="92"/>
      <c r="AF120" s="92"/>
      <c r="AG120" s="92"/>
      <c r="AH120" s="92"/>
      <c r="AI120" s="92"/>
      <c r="AJ120" s="92"/>
      <c r="AK120" s="92"/>
      <c r="AL120" s="92"/>
      <c r="AM120" s="92"/>
      <c r="AN120" s="92"/>
      <c r="AO120" s="92"/>
      <c r="AP120" s="92"/>
      <c r="AQ120" s="92"/>
      <c r="AR120" s="92"/>
      <c r="AS120" s="92"/>
      <c r="AT120" s="92"/>
      <c r="AU120" s="92"/>
      <c r="AV120" s="92"/>
      <c r="AW120" s="92"/>
      <c r="AX120" s="92"/>
      <c r="AY120" s="92"/>
      <c r="AZ120" s="92"/>
      <c r="BA120" s="92"/>
      <c r="BB120" s="92"/>
      <c r="BC120" s="92"/>
      <c r="BD120" s="92"/>
      <c r="BE120" s="92"/>
      <c r="BF120" s="92"/>
      <c r="BG120" s="92"/>
      <c r="BH120" s="92"/>
      <c r="BI120" s="92"/>
      <c r="BJ120" s="92"/>
      <c r="BK120" s="92"/>
      <c r="BL120" s="92"/>
      <c r="BM120" s="92"/>
      <c r="BN120" s="92"/>
      <c r="BO120" s="92"/>
    </row>
    <row r="121" spans="5:67">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c r="AG121" s="92"/>
      <c r="AH121" s="92"/>
      <c r="AI121" s="92"/>
      <c r="AJ121" s="92"/>
      <c r="AK121" s="92"/>
      <c r="AL121" s="92"/>
      <c r="AM121" s="92"/>
      <c r="AN121" s="92"/>
      <c r="AO121" s="92"/>
      <c r="AP121" s="92"/>
      <c r="AQ121" s="92"/>
      <c r="AR121" s="92"/>
      <c r="AS121" s="92"/>
      <c r="AT121" s="92"/>
      <c r="AU121" s="92"/>
      <c r="AV121" s="92"/>
      <c r="AW121" s="92"/>
      <c r="AX121" s="92"/>
      <c r="AY121" s="92"/>
      <c r="AZ121" s="92"/>
      <c r="BA121" s="92"/>
      <c r="BB121" s="92"/>
      <c r="BC121" s="92"/>
      <c r="BD121" s="92"/>
      <c r="BE121" s="92"/>
      <c r="BF121" s="92"/>
      <c r="BG121" s="92"/>
      <c r="BH121" s="92"/>
      <c r="BI121" s="92"/>
      <c r="BJ121" s="92"/>
      <c r="BK121" s="92"/>
      <c r="BL121" s="92"/>
      <c r="BM121" s="92"/>
      <c r="BN121" s="92"/>
      <c r="BO121" s="92"/>
    </row>
    <row r="122" spans="5:67">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2"/>
      <c r="AX122" s="92"/>
      <c r="AY122" s="92"/>
      <c r="AZ122" s="92"/>
      <c r="BA122" s="92"/>
      <c r="BB122" s="92"/>
      <c r="BC122" s="92"/>
      <c r="BD122" s="92"/>
      <c r="BE122" s="92"/>
      <c r="BF122" s="92"/>
      <c r="BG122" s="92"/>
      <c r="BH122" s="92"/>
      <c r="BI122" s="92"/>
      <c r="BJ122" s="92"/>
      <c r="BK122" s="92"/>
      <c r="BL122" s="92"/>
      <c r="BM122" s="92"/>
      <c r="BN122" s="92"/>
      <c r="BO122" s="92"/>
    </row>
    <row r="123" spans="5:67">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c r="BA123" s="92"/>
      <c r="BB123" s="92"/>
      <c r="BC123" s="92"/>
      <c r="BD123" s="92"/>
      <c r="BE123" s="92"/>
      <c r="BF123" s="92"/>
      <c r="BG123" s="92"/>
      <c r="BH123" s="92"/>
      <c r="BI123" s="92"/>
      <c r="BJ123" s="92"/>
      <c r="BK123" s="92"/>
      <c r="BL123" s="92"/>
      <c r="BM123" s="92"/>
      <c r="BN123" s="92"/>
      <c r="BO123" s="92"/>
    </row>
    <row r="124" spans="5:67">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2"/>
      <c r="AW124" s="92"/>
      <c r="AX124" s="92"/>
      <c r="AY124" s="92"/>
      <c r="AZ124" s="92"/>
      <c r="BA124" s="92"/>
      <c r="BB124" s="92"/>
      <c r="BC124" s="92"/>
      <c r="BD124" s="92"/>
      <c r="BE124" s="92"/>
      <c r="BF124" s="92"/>
      <c r="BG124" s="92"/>
      <c r="BH124" s="92"/>
      <c r="BI124" s="92"/>
      <c r="BJ124" s="92"/>
      <c r="BK124" s="92"/>
      <c r="BL124" s="92"/>
      <c r="BM124" s="92"/>
      <c r="BN124" s="92"/>
      <c r="BO124" s="92"/>
    </row>
    <row r="125" spans="5:67">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c r="AH125" s="92"/>
      <c r="AI125" s="92"/>
      <c r="AJ125" s="92"/>
      <c r="AK125" s="92"/>
      <c r="AL125" s="92"/>
      <c r="AM125" s="92"/>
      <c r="AN125" s="92"/>
      <c r="AO125" s="92"/>
      <c r="AP125" s="92"/>
      <c r="AQ125" s="92"/>
      <c r="AR125" s="92"/>
      <c r="AS125" s="92"/>
      <c r="AT125" s="92"/>
      <c r="AU125" s="92"/>
      <c r="AV125" s="92"/>
      <c r="AW125" s="92"/>
      <c r="AX125" s="92"/>
      <c r="AY125" s="92"/>
      <c r="AZ125" s="92"/>
      <c r="BA125" s="92"/>
      <c r="BB125" s="92"/>
      <c r="BC125" s="92"/>
      <c r="BD125" s="92"/>
      <c r="BE125" s="92"/>
      <c r="BF125" s="92"/>
      <c r="BG125" s="92"/>
      <c r="BH125" s="92"/>
      <c r="BI125" s="92"/>
      <c r="BJ125" s="92"/>
      <c r="BK125" s="92"/>
      <c r="BL125" s="92"/>
      <c r="BM125" s="92"/>
      <c r="BN125" s="92"/>
      <c r="BO125" s="92"/>
    </row>
    <row r="126" spans="5:67">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c r="AH126" s="92"/>
      <c r="AI126" s="92"/>
      <c r="AJ126" s="92"/>
      <c r="AK126" s="92"/>
      <c r="AL126" s="92"/>
      <c r="AM126" s="92"/>
      <c r="AN126" s="92"/>
      <c r="AO126" s="92"/>
      <c r="AP126" s="92"/>
      <c r="AQ126" s="92"/>
      <c r="AR126" s="92"/>
      <c r="AS126" s="92"/>
      <c r="AT126" s="92"/>
      <c r="AU126" s="92"/>
      <c r="AV126" s="92"/>
      <c r="AW126" s="92"/>
      <c r="AX126" s="92"/>
      <c r="AY126" s="92"/>
      <c r="AZ126" s="92"/>
      <c r="BA126" s="92"/>
      <c r="BB126" s="92"/>
      <c r="BC126" s="92"/>
      <c r="BD126" s="92"/>
      <c r="BE126" s="92"/>
      <c r="BF126" s="92"/>
      <c r="BG126" s="92"/>
      <c r="BH126" s="92"/>
      <c r="BI126" s="92"/>
      <c r="BJ126" s="92"/>
      <c r="BK126" s="92"/>
      <c r="BL126" s="92"/>
      <c r="BM126" s="92"/>
      <c r="BN126" s="92"/>
      <c r="BO126" s="92"/>
    </row>
    <row r="127" spans="5:67">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c r="AD127" s="92"/>
      <c r="AE127" s="92"/>
      <c r="AF127" s="92"/>
      <c r="AG127" s="92"/>
      <c r="AH127" s="92"/>
      <c r="AI127" s="92"/>
      <c r="AJ127" s="92"/>
      <c r="AK127" s="92"/>
      <c r="AL127" s="92"/>
      <c r="AM127" s="92"/>
      <c r="AN127" s="92"/>
      <c r="AO127" s="92"/>
      <c r="AP127" s="92"/>
      <c r="AQ127" s="92"/>
      <c r="AR127" s="92"/>
      <c r="AS127" s="92"/>
      <c r="AT127" s="92"/>
      <c r="AU127" s="92"/>
      <c r="AV127" s="92"/>
      <c r="AW127" s="92"/>
      <c r="AX127" s="92"/>
      <c r="AY127" s="92"/>
      <c r="AZ127" s="92"/>
      <c r="BA127" s="92"/>
      <c r="BB127" s="92"/>
      <c r="BC127" s="92"/>
      <c r="BD127" s="92"/>
      <c r="BE127" s="92"/>
      <c r="BF127" s="92"/>
      <c r="BG127" s="92"/>
      <c r="BH127" s="92"/>
      <c r="BI127" s="92"/>
      <c r="BJ127" s="92"/>
      <c r="BK127" s="92"/>
      <c r="BL127" s="92"/>
      <c r="BM127" s="92"/>
      <c r="BN127" s="92"/>
      <c r="BO127" s="92"/>
    </row>
    <row r="128" spans="5:67">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c r="AG128" s="92"/>
      <c r="AH128" s="92"/>
      <c r="AI128" s="92"/>
      <c r="AJ128" s="92"/>
      <c r="AK128" s="92"/>
      <c r="AL128" s="92"/>
      <c r="AM128" s="92"/>
      <c r="AN128" s="92"/>
      <c r="AO128" s="92"/>
      <c r="AP128" s="92"/>
      <c r="AQ128" s="92"/>
      <c r="AR128" s="92"/>
      <c r="AS128" s="92"/>
      <c r="AT128" s="92"/>
      <c r="AU128" s="92"/>
      <c r="AV128" s="92"/>
      <c r="AW128" s="92"/>
      <c r="AX128" s="92"/>
      <c r="AY128" s="92"/>
      <c r="AZ128" s="92"/>
      <c r="BA128" s="92"/>
      <c r="BB128" s="92"/>
      <c r="BC128" s="92"/>
      <c r="BD128" s="92"/>
      <c r="BE128" s="92"/>
      <c r="BF128" s="92"/>
      <c r="BG128" s="92"/>
      <c r="BH128" s="92"/>
      <c r="BI128" s="92"/>
      <c r="BJ128" s="92"/>
      <c r="BK128" s="92"/>
      <c r="BL128" s="92"/>
      <c r="BM128" s="92"/>
      <c r="BN128" s="92"/>
      <c r="BO128" s="92"/>
    </row>
    <row r="129" spans="6:67">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92"/>
      <c r="AD129" s="92"/>
      <c r="AE129" s="92"/>
      <c r="AF129" s="92"/>
      <c r="AG129" s="92"/>
      <c r="AH129" s="92"/>
      <c r="AI129" s="92"/>
      <c r="AJ129" s="92"/>
      <c r="AK129" s="92"/>
      <c r="AL129" s="92"/>
      <c r="AM129" s="92"/>
      <c r="AN129" s="92"/>
      <c r="AO129" s="92"/>
      <c r="AP129" s="92"/>
      <c r="AQ129" s="92"/>
      <c r="AR129" s="92"/>
      <c r="AS129" s="92"/>
      <c r="AT129" s="92"/>
      <c r="AU129" s="92"/>
      <c r="AV129" s="92"/>
      <c r="AW129" s="92"/>
      <c r="AX129" s="92"/>
      <c r="AY129" s="92"/>
      <c r="AZ129" s="92"/>
      <c r="BA129" s="92"/>
      <c r="BB129" s="92"/>
      <c r="BC129" s="92"/>
      <c r="BD129" s="92"/>
      <c r="BE129" s="92"/>
      <c r="BF129" s="92"/>
      <c r="BG129" s="92"/>
      <c r="BH129" s="92"/>
      <c r="BI129" s="92"/>
      <c r="BJ129" s="92"/>
      <c r="BK129" s="92"/>
      <c r="BL129" s="92"/>
      <c r="BM129" s="92"/>
      <c r="BN129" s="92"/>
      <c r="BO129" s="92"/>
    </row>
    <row r="130" spans="6:67">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2"/>
      <c r="AX130" s="92"/>
      <c r="AY130" s="92"/>
      <c r="AZ130" s="92"/>
      <c r="BA130" s="92"/>
      <c r="BB130" s="92"/>
      <c r="BC130" s="92"/>
      <c r="BD130" s="92"/>
      <c r="BE130" s="92"/>
      <c r="BF130" s="92"/>
      <c r="BG130" s="92"/>
      <c r="BH130" s="92"/>
      <c r="BI130" s="92"/>
      <c r="BJ130" s="92"/>
      <c r="BK130" s="92"/>
      <c r="BL130" s="92"/>
      <c r="BM130" s="92"/>
      <c r="BN130" s="92"/>
      <c r="BO130" s="92"/>
    </row>
    <row r="131" spans="6:67">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c r="AD131" s="92"/>
      <c r="AE131" s="92"/>
      <c r="AF131" s="92"/>
      <c r="AG131" s="92"/>
      <c r="AH131" s="92"/>
      <c r="AI131" s="92"/>
      <c r="AJ131" s="92"/>
      <c r="AK131" s="92"/>
      <c r="AL131" s="92"/>
      <c r="AM131" s="92"/>
      <c r="AN131" s="92"/>
      <c r="AO131" s="92"/>
      <c r="AP131" s="92"/>
      <c r="AQ131" s="92"/>
      <c r="AR131" s="92"/>
      <c r="AS131" s="92"/>
      <c r="AT131" s="92"/>
      <c r="AU131" s="92"/>
      <c r="AV131" s="92"/>
      <c r="AW131" s="92"/>
      <c r="AX131" s="92"/>
      <c r="AY131" s="92"/>
      <c r="AZ131" s="92"/>
      <c r="BA131" s="92"/>
      <c r="BB131" s="92"/>
      <c r="BC131" s="92"/>
      <c r="BD131" s="92"/>
      <c r="BE131" s="92"/>
      <c r="BF131" s="92"/>
      <c r="BG131" s="92"/>
      <c r="BH131" s="92"/>
      <c r="BI131" s="92"/>
      <c r="BJ131" s="92"/>
      <c r="BK131" s="92"/>
      <c r="BL131" s="92"/>
      <c r="BM131" s="92"/>
      <c r="BN131" s="92"/>
      <c r="BO131" s="92"/>
    </row>
    <row r="132" spans="6:67">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c r="BE132" s="92"/>
      <c r="BF132" s="92"/>
      <c r="BG132" s="92"/>
      <c r="BH132" s="92"/>
      <c r="BI132" s="92"/>
      <c r="BJ132" s="92"/>
      <c r="BK132" s="92"/>
      <c r="BL132" s="92"/>
      <c r="BM132" s="92"/>
      <c r="BN132" s="92"/>
      <c r="BO132" s="92"/>
    </row>
    <row r="133" spans="6:67">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c r="AG133" s="92"/>
      <c r="AH133" s="92"/>
      <c r="AI133" s="92"/>
      <c r="AJ133" s="92"/>
      <c r="AK133" s="92"/>
      <c r="AL133" s="92"/>
      <c r="AM133" s="92"/>
      <c r="AN133" s="92"/>
      <c r="AO133" s="92"/>
      <c r="AP133" s="92"/>
      <c r="AQ133" s="92"/>
      <c r="AR133" s="92"/>
      <c r="AS133" s="92"/>
      <c r="AT133" s="92"/>
      <c r="AU133" s="92"/>
      <c r="AV133" s="92"/>
      <c r="AW133" s="92"/>
      <c r="AX133" s="92"/>
      <c r="AY133" s="92"/>
      <c r="AZ133" s="92"/>
      <c r="BA133" s="92"/>
      <c r="BB133" s="92"/>
      <c r="BC133" s="92"/>
      <c r="BD133" s="92"/>
      <c r="BE133" s="92"/>
      <c r="BF133" s="92"/>
      <c r="BG133" s="92"/>
      <c r="BH133" s="92"/>
      <c r="BI133" s="92"/>
      <c r="BJ133" s="92"/>
      <c r="BK133" s="92"/>
      <c r="BL133" s="92"/>
      <c r="BM133" s="92"/>
      <c r="BN133" s="92"/>
      <c r="BO133" s="92"/>
    </row>
    <row r="134" spans="6:67">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92"/>
      <c r="AG134" s="92"/>
      <c r="AH134" s="92"/>
      <c r="AI134" s="92"/>
      <c r="AJ134" s="92"/>
      <c r="AK134" s="92"/>
      <c r="AL134" s="92"/>
      <c r="AM134" s="92"/>
      <c r="AN134" s="92"/>
      <c r="AO134" s="92"/>
      <c r="AP134" s="92"/>
      <c r="AQ134" s="92"/>
      <c r="AR134" s="92"/>
      <c r="AS134" s="92"/>
      <c r="AT134" s="92"/>
      <c r="AU134" s="92"/>
      <c r="AV134" s="92"/>
      <c r="AW134" s="92"/>
      <c r="AX134" s="92"/>
      <c r="AY134" s="92"/>
      <c r="AZ134" s="92"/>
      <c r="BA134" s="92"/>
      <c r="BB134" s="92"/>
      <c r="BC134" s="92"/>
      <c r="BD134" s="92"/>
      <c r="BE134" s="92"/>
      <c r="BF134" s="92"/>
      <c r="BG134" s="92"/>
      <c r="BH134" s="92"/>
      <c r="BI134" s="92"/>
      <c r="BJ134" s="92"/>
      <c r="BK134" s="92"/>
      <c r="BL134" s="92"/>
      <c r="BM134" s="92"/>
      <c r="BN134" s="92"/>
      <c r="BO134" s="92"/>
    </row>
    <row r="135" spans="6:67">
      <c r="F135" s="92"/>
      <c r="G135" s="92"/>
      <c r="H135" s="92"/>
      <c r="I135" s="92"/>
      <c r="J135" s="92"/>
      <c r="K135" s="92"/>
      <c r="L135" s="92"/>
      <c r="M135" s="92"/>
      <c r="N135" s="92"/>
      <c r="O135" s="92"/>
      <c r="P135" s="92"/>
      <c r="Q135" s="92"/>
      <c r="R135" s="92"/>
      <c r="S135" s="92"/>
      <c r="T135" s="92"/>
      <c r="U135" s="92"/>
      <c r="V135" s="92"/>
      <c r="W135" s="92"/>
      <c r="X135" s="92"/>
      <c r="Y135" s="92"/>
      <c r="Z135" s="92"/>
      <c r="AA135" s="92"/>
      <c r="AB135" s="92"/>
      <c r="AC135" s="92"/>
      <c r="AD135" s="92"/>
      <c r="AE135" s="92"/>
      <c r="AF135" s="92"/>
      <c r="AG135" s="92"/>
      <c r="AH135" s="92"/>
      <c r="AI135" s="92"/>
      <c r="AJ135" s="92"/>
      <c r="AK135" s="92"/>
      <c r="AL135" s="92"/>
      <c r="AM135" s="92"/>
      <c r="AN135" s="92"/>
      <c r="AO135" s="92"/>
      <c r="AP135" s="92"/>
      <c r="AQ135" s="92"/>
      <c r="AR135" s="92"/>
      <c r="AS135" s="92"/>
      <c r="AT135" s="92"/>
      <c r="AU135" s="92"/>
      <c r="AV135" s="92"/>
      <c r="AW135" s="92"/>
      <c r="AX135" s="92"/>
      <c r="AY135" s="92"/>
      <c r="AZ135" s="92"/>
      <c r="BA135" s="92"/>
      <c r="BB135" s="92"/>
      <c r="BC135" s="92"/>
      <c r="BD135" s="92"/>
      <c r="BE135" s="92"/>
      <c r="BF135" s="92"/>
      <c r="BG135" s="92"/>
      <c r="BH135" s="92"/>
      <c r="BI135" s="92"/>
      <c r="BJ135" s="92"/>
      <c r="BK135" s="92"/>
      <c r="BL135" s="92"/>
      <c r="BM135" s="92"/>
      <c r="BN135" s="92"/>
      <c r="BO135" s="92"/>
    </row>
    <row r="136" spans="6:67">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c r="AG136" s="92"/>
      <c r="AH136" s="92"/>
      <c r="AI136" s="92"/>
      <c r="AJ136" s="92"/>
      <c r="AK136" s="92"/>
      <c r="AL136" s="92"/>
      <c r="AM136" s="92"/>
      <c r="AN136" s="92"/>
      <c r="AO136" s="92"/>
      <c r="AP136" s="92"/>
      <c r="AQ136" s="92"/>
      <c r="AR136" s="92"/>
      <c r="AS136" s="92"/>
      <c r="AT136" s="92"/>
      <c r="AU136" s="92"/>
      <c r="AV136" s="92"/>
      <c r="AW136" s="92"/>
      <c r="AX136" s="92"/>
      <c r="AY136" s="92"/>
      <c r="AZ136" s="92"/>
      <c r="BA136" s="92"/>
      <c r="BB136" s="92"/>
      <c r="BC136" s="92"/>
      <c r="BD136" s="92"/>
      <c r="BE136" s="92"/>
      <c r="BF136" s="92"/>
      <c r="BG136" s="92"/>
      <c r="BH136" s="92"/>
      <c r="BI136" s="92"/>
      <c r="BJ136" s="92"/>
      <c r="BK136" s="92"/>
      <c r="BL136" s="92"/>
      <c r="BM136" s="92"/>
      <c r="BN136" s="92"/>
      <c r="BO136" s="92"/>
    </row>
    <row r="137" spans="6:67">
      <c r="F137" s="92"/>
      <c r="G137" s="92"/>
      <c r="H137" s="92"/>
      <c r="I137" s="92"/>
      <c r="J137" s="92"/>
      <c r="K137" s="92"/>
      <c r="L137" s="92"/>
      <c r="M137" s="92"/>
    </row>
    <row r="138" spans="6:67">
      <c r="F138" s="92"/>
      <c r="G138" s="92"/>
      <c r="H138" s="92"/>
      <c r="I138" s="92"/>
      <c r="J138" s="92"/>
      <c r="K138" s="92"/>
      <c r="L138" s="92"/>
      <c r="M138" s="92"/>
    </row>
    <row r="139" spans="6:67">
      <c r="F139" s="92"/>
      <c r="G139" s="92"/>
      <c r="H139" s="92"/>
      <c r="I139" s="92"/>
      <c r="J139" s="92"/>
      <c r="K139" s="92"/>
      <c r="L139" s="92"/>
      <c r="M139" s="92"/>
    </row>
    <row r="140" spans="6:67">
      <c r="F140" s="92"/>
      <c r="G140" s="92"/>
      <c r="H140" s="92"/>
      <c r="I140" s="92"/>
      <c r="J140" s="92"/>
      <c r="K140" s="92"/>
      <c r="L140" s="92"/>
      <c r="M140" s="92"/>
    </row>
  </sheetData>
  <mergeCells count="41">
    <mergeCell ref="F2:M4"/>
    <mergeCell ref="N2:AQ4"/>
    <mergeCell ref="F6:H45"/>
    <mergeCell ref="I6:M13"/>
    <mergeCell ref="N6:S13"/>
    <mergeCell ref="T6:Y13"/>
    <mergeCell ref="Z6:AE13"/>
    <mergeCell ref="AF6:AK13"/>
    <mergeCell ref="AL6:AQ13"/>
    <mergeCell ref="Z14:AE21"/>
    <mergeCell ref="I22:M29"/>
    <mergeCell ref="AF22:AK29"/>
    <mergeCell ref="N30:S37"/>
    <mergeCell ref="I30:M37"/>
    <mergeCell ref="AF38:AK45"/>
    <mergeCell ref="AL38:AQ45"/>
    <mergeCell ref="AS6:AX13"/>
    <mergeCell ref="I14:M21"/>
    <mergeCell ref="AF14:AK21"/>
    <mergeCell ref="AL14:AQ21"/>
    <mergeCell ref="N14:S21"/>
    <mergeCell ref="T14:Y21"/>
    <mergeCell ref="AS14:AX21"/>
    <mergeCell ref="AS22:AX29"/>
    <mergeCell ref="AL22:AQ29"/>
    <mergeCell ref="T22:Y29"/>
    <mergeCell ref="Z22:AE29"/>
    <mergeCell ref="Z30:AE37"/>
    <mergeCell ref="AF30:AK37"/>
    <mergeCell ref="AL30:AQ37"/>
    <mergeCell ref="T30:Y37"/>
    <mergeCell ref="Z38:AE45"/>
    <mergeCell ref="AS30:AX37"/>
    <mergeCell ref="I38:M45"/>
    <mergeCell ref="N38:S45"/>
    <mergeCell ref="T38:Y45"/>
    <mergeCell ref="N46:S51"/>
    <mergeCell ref="T46:Y51"/>
    <mergeCell ref="Z46:AE51"/>
    <mergeCell ref="AF46:AK51"/>
    <mergeCell ref="AL46:AQ5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D8B7F-B123-4894-90A8-0739BA137BAF}">
  <dimension ref="A1:CM248"/>
  <sheetViews>
    <sheetView zoomScale="40" zoomScaleNormal="40" workbookViewId="0">
      <selection activeCell="K7" sqref="K7"/>
    </sheetView>
  </sheetViews>
  <sheetFormatPr defaultColWidth="10.85546875" defaultRowHeight="13.9"/>
  <cols>
    <col min="1" max="1" width="10.85546875" style="9"/>
    <col min="2" max="18" width="5.7109375" style="9" customWidth="1"/>
    <col min="19" max="19" width="8.42578125" style="9" customWidth="1"/>
    <col min="20" max="23" width="5.7109375" style="9" customWidth="1"/>
    <col min="24" max="24" width="8.5703125" style="9" customWidth="1"/>
    <col min="25" max="26" width="5.7109375" style="9" customWidth="1"/>
    <col min="27" max="27" width="10.7109375" style="9" customWidth="1"/>
    <col min="28" max="28" width="5.7109375" style="9" customWidth="1"/>
    <col min="29" max="29" width="7.42578125" style="9" customWidth="1"/>
    <col min="30" max="33" width="5.7109375" style="9" customWidth="1"/>
    <col min="34" max="34" width="8.5703125" style="9" customWidth="1"/>
    <col min="35" max="39" width="5.7109375" style="9" customWidth="1"/>
    <col min="40" max="40" width="10.85546875" style="9"/>
    <col min="41" max="46" width="5.7109375" style="9" customWidth="1"/>
    <col min="47" max="16384" width="10.85546875" style="9"/>
  </cols>
  <sheetData>
    <row r="1" spans="1:91">
      <c r="A1" s="92"/>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row>
    <row r="2" spans="1:91" ht="18" customHeight="1">
      <c r="A2" s="92"/>
      <c r="B2" s="429" t="s">
        <v>533</v>
      </c>
      <c r="C2" s="430"/>
      <c r="D2" s="430"/>
      <c r="E2" s="430"/>
      <c r="F2" s="430"/>
      <c r="G2" s="430"/>
      <c r="H2" s="430"/>
      <c r="I2" s="430"/>
      <c r="J2" s="416" t="s">
        <v>517</v>
      </c>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row>
    <row r="3" spans="1:91" ht="18.75" customHeight="1">
      <c r="A3" s="92"/>
      <c r="B3" s="430"/>
      <c r="C3" s="430"/>
      <c r="D3" s="430"/>
      <c r="E3" s="430"/>
      <c r="F3" s="430"/>
      <c r="G3" s="430"/>
      <c r="H3" s="430"/>
      <c r="I3" s="430"/>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row>
    <row r="4" spans="1:91" ht="15" customHeight="1">
      <c r="A4" s="92"/>
      <c r="B4" s="430"/>
      <c r="C4" s="430"/>
      <c r="D4" s="430"/>
      <c r="E4" s="430"/>
      <c r="F4" s="430"/>
      <c r="G4" s="430"/>
      <c r="H4" s="430"/>
      <c r="I4" s="430"/>
      <c r="J4" s="416"/>
      <c r="K4" s="416"/>
      <c r="L4" s="416"/>
      <c r="M4" s="416"/>
      <c r="N4" s="416"/>
      <c r="O4" s="416"/>
      <c r="P4" s="416"/>
      <c r="Q4" s="416"/>
      <c r="R4" s="416"/>
      <c r="S4" s="416"/>
      <c r="T4" s="416"/>
      <c r="U4" s="416"/>
      <c r="V4" s="416"/>
      <c r="W4" s="416"/>
      <c r="X4" s="416"/>
      <c r="Y4" s="416"/>
      <c r="Z4" s="416"/>
      <c r="AA4" s="416"/>
      <c r="AB4" s="416"/>
      <c r="AC4" s="416"/>
      <c r="AD4" s="416"/>
      <c r="AE4" s="416"/>
      <c r="AF4" s="416"/>
      <c r="AG4" s="416"/>
      <c r="AH4" s="416"/>
      <c r="AI4" s="416"/>
      <c r="AJ4" s="416"/>
      <c r="AK4" s="416"/>
      <c r="AL4" s="416"/>
      <c r="AM4" s="416"/>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row>
    <row r="5" spans="1:91" ht="14.45" thickBot="1">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row>
    <row r="6" spans="1:91" ht="15" customHeight="1">
      <c r="A6" s="92"/>
      <c r="B6" s="417" t="s">
        <v>518</v>
      </c>
      <c r="C6" s="417"/>
      <c r="D6" s="418"/>
      <c r="E6" s="419" t="s">
        <v>519</v>
      </c>
      <c r="F6" s="420"/>
      <c r="G6" s="420"/>
      <c r="H6" s="420"/>
      <c r="I6" s="421"/>
      <c r="J6" s="94" t="str">
        <f>IF(AND('[2]Mapa final'!$Y$12="Muy Alta",'[2]Mapa final'!$AA$12="Leve"),CONCATENATE("R1C",'[2]Mapa final'!$O$12),"")</f>
        <v/>
      </c>
      <c r="K6" s="95" t="str">
        <f>IF(AND('[2]Mapa final'!$Y$13="Muy Alta",'[2]Mapa final'!$AA$13="Leve"),CONCATENATE("R1C",'[2]Mapa final'!$O$13),"")</f>
        <v/>
      </c>
      <c r="L6" s="95" t="str">
        <f>IF(AND('[2]Mapa final'!$Y$14="Muy Alta",'[2]Mapa final'!$AA$14="Leve"),CONCATENATE("R1C",'[2]Mapa final'!$O$14),"")</f>
        <v/>
      </c>
      <c r="M6" s="95" t="str">
        <f>IF(AND('[2]Mapa final'!$Y$15="Muy Alta",'[2]Mapa final'!$AA$15="Leve"),CONCATENATE("R1C",'[2]Mapa final'!$O$15),"")</f>
        <v/>
      </c>
      <c r="N6" s="95" t="str">
        <f>IF(AND('[2]Mapa final'!$Y$16="Muy Alta",'[2]Mapa final'!$AA$16="Leve"),CONCATENATE("R1C",'[2]Mapa final'!$O$16),"")</f>
        <v/>
      </c>
      <c r="O6" s="96" t="str">
        <f>IF(AND('[2]Mapa final'!$Y$17="Muy Alta",'[2]Mapa final'!$AA$17="Leve"),CONCATENATE("R1C",'[2]Mapa final'!$O$17),"")</f>
        <v/>
      </c>
      <c r="P6" s="94" t="str">
        <f>IF(AND('[2]Mapa final'!$Y$12="Muy Alta",'[2]Mapa final'!$AA$12="Menor"),CONCATENATE("R1C",'[2]Mapa final'!$O$12),"")</f>
        <v/>
      </c>
      <c r="Q6" s="95" t="str">
        <f>IF(AND('[2]Mapa final'!$Y$13="Muy Alta",'[2]Mapa final'!$AA$13="Menor"),CONCATENATE("R1C",'[2]Mapa final'!$O$13),"")</f>
        <v/>
      </c>
      <c r="R6" s="95" t="str">
        <f>IF(AND('[2]Mapa final'!$Y$14="Muy Alta",'[2]Mapa final'!$AA$14="Menor"),CONCATENATE("R1C",'[2]Mapa final'!$O$14),"")</f>
        <v/>
      </c>
      <c r="S6" s="95" t="str">
        <f>IF(AND('[2]Mapa final'!$Y$15="Muy Alta",'[2]Mapa final'!$AA$15="Menor"),CONCATENATE("R1C",'[2]Mapa final'!$O$15),"")</f>
        <v/>
      </c>
      <c r="T6" s="95" t="str">
        <f>IF(AND('[2]Mapa final'!$Y$16="Muy Alta",'[2]Mapa final'!$AA$16="Menor"),CONCATENATE("R1C",'[2]Mapa final'!$O$16),"")</f>
        <v/>
      </c>
      <c r="U6" s="96" t="str">
        <f>IF(AND('[2]Mapa final'!$Y$17="Muy Alta",'[2]Mapa final'!$AA$17="Menor"),CONCATENATE("R1C",'[2]Mapa final'!$O$17),"")</f>
        <v/>
      </c>
      <c r="V6" s="94" t="str">
        <f>IF(AND('[2]Mapa final'!$Y$12="Muy Alta",'[2]Mapa final'!$AA$12="Moderado"),CONCATENATE("R1C",'[2]Mapa final'!$O$12),"")</f>
        <v/>
      </c>
      <c r="W6" s="95" t="str">
        <f>IF(AND('[2]Mapa final'!$Y$13="Muy Alta",'[2]Mapa final'!$AA$13="Moderado"),CONCATENATE("R1C",'[2]Mapa final'!$O$13),"")</f>
        <v/>
      </c>
      <c r="X6" s="95" t="str">
        <f>IF(AND('[2]Mapa final'!$Y$14="Muy Alta",'[2]Mapa final'!$AA$14="Moderado"),CONCATENATE("R1C",'[2]Mapa final'!$O$14),"")</f>
        <v/>
      </c>
      <c r="Y6" s="95" t="str">
        <f>IF(AND('[2]Mapa final'!$Y$15="Muy Alta",'[2]Mapa final'!$AA$15="Moderado"),CONCATENATE("R1C",'[2]Mapa final'!$O$15),"")</f>
        <v/>
      </c>
      <c r="Z6" s="95" t="str">
        <f>IF(AND('[2]Mapa final'!$Y$16="Muy Alta",'[2]Mapa final'!$AA$16="Moderado"),CONCATENATE("R1C",'[2]Mapa final'!$O$16),"")</f>
        <v/>
      </c>
      <c r="AA6" s="96" t="str">
        <f>IF(AND('[2]Mapa final'!$Y$17="Muy Alta",'[2]Mapa final'!$AA$17="Moderado"),CONCATENATE("R1C",'[2]Mapa final'!$O$17),"")</f>
        <v/>
      </c>
      <c r="AB6" s="94" t="str">
        <f>IF(AND('[2]Mapa final'!$Y$12="Muy Alta",'[2]Mapa final'!$AA$12="Mayor"),CONCATENATE("R1C",'[2]Mapa final'!$O$12),"")</f>
        <v/>
      </c>
      <c r="AC6" s="95" t="str">
        <f>IF(AND('[2]Mapa final'!$Y$13="Muy Alta",'[2]Mapa final'!$AA$13="Mayor"),CONCATENATE("R1C",'[2]Mapa final'!$O$13),"")</f>
        <v/>
      </c>
      <c r="AD6" s="95" t="str">
        <f>IF(AND('[2]Mapa final'!$Y$14="Muy Alta",'[2]Mapa final'!$AA$14="Mayor"),CONCATENATE("R1C",'[2]Mapa final'!$O$14),"")</f>
        <v/>
      </c>
      <c r="AE6" s="95" t="str">
        <f>IF(AND('[2]Mapa final'!$Y$15="Muy Alta",'[2]Mapa final'!$AA$15="Mayor"),CONCATENATE("R1C",'[2]Mapa final'!$O$15),"")</f>
        <v/>
      </c>
      <c r="AF6" s="95" t="str">
        <f>IF(AND('[2]Mapa final'!$Y$16="Muy Alta",'[2]Mapa final'!$AA$16="Mayor"),CONCATENATE("R1C",'[2]Mapa final'!$O$16),"")</f>
        <v/>
      </c>
      <c r="AG6" s="96" t="str">
        <f>IF(AND('[2]Mapa final'!$Y$17="Muy Alta",'[2]Mapa final'!$AA$17="Mayor"),CONCATENATE("R1C",'[2]Mapa final'!$O$17),"")</f>
        <v/>
      </c>
      <c r="AH6" s="97" t="str">
        <f>IF(AND('[2]Mapa final'!$Y$12="Muy Alta",'[2]Mapa final'!$AA$12="Catastrófico"),CONCATENATE("R1C",'[2]Mapa final'!$O$12),"")</f>
        <v/>
      </c>
      <c r="AI6" s="98" t="str">
        <f>IF(AND('[2]Mapa final'!$Y$13="Muy Alta",'[2]Mapa final'!$AA$13="Catastrófico"),CONCATENATE("R1C",'[2]Mapa final'!$O$13),"")</f>
        <v/>
      </c>
      <c r="AJ6" s="98" t="str">
        <f>IF(AND('[2]Mapa final'!$Y$14="Muy Alta",'[2]Mapa final'!$AA$14="Catastrófico"),CONCATENATE("R1C",'[2]Mapa final'!$O$14),"")</f>
        <v/>
      </c>
      <c r="AK6" s="98" t="str">
        <f>IF(AND('[2]Mapa final'!$Y$15="Muy Alta",'[2]Mapa final'!$AA$15="Catastrófico"),CONCATENATE("R1C",'[2]Mapa final'!$O$15),"")</f>
        <v/>
      </c>
      <c r="AL6" s="98" t="str">
        <f>IF(AND('[2]Mapa final'!$Y$16="Muy Alta",'[2]Mapa final'!$AA$16="Catastrófico"),CONCATENATE("R1C",'[2]Mapa final'!$O$16),"")</f>
        <v/>
      </c>
      <c r="AM6" s="99" t="str">
        <f>IF(AND('[2]Mapa final'!$Y$17="Muy Alta",'[2]Mapa final'!$AA$17="Catastrófico"),CONCATENATE("R1C",'[2]Mapa final'!$O$17),"")</f>
        <v/>
      </c>
      <c r="AN6" s="92"/>
      <c r="AO6" s="431" t="s">
        <v>520</v>
      </c>
      <c r="AP6" s="432"/>
      <c r="AQ6" s="432"/>
      <c r="AR6" s="432"/>
      <c r="AS6" s="432"/>
      <c r="AT6" s="433"/>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row>
    <row r="7" spans="1:91" ht="15" customHeight="1">
      <c r="A7" s="92"/>
      <c r="B7" s="417"/>
      <c r="C7" s="417"/>
      <c r="D7" s="418"/>
      <c r="E7" s="422"/>
      <c r="F7" s="423"/>
      <c r="G7" s="423"/>
      <c r="H7" s="423"/>
      <c r="I7" s="424"/>
      <c r="J7" s="100" t="str">
        <f>IF(AND('[2]Mapa final'!$Y$18="Muy Alta",'[2]Mapa final'!$AA$18="Leve"),CONCATENATE("R2C",'[2]Mapa final'!$O$18),"")</f>
        <v/>
      </c>
      <c r="K7" s="101" t="str">
        <f>IF(AND('[2]Mapa final'!$Y$19="Muy Alta",'[2]Mapa final'!$AA$19="Leve"),CONCATENATE("R2C",'[2]Mapa final'!$O$19),"")</f>
        <v/>
      </c>
      <c r="L7" s="101" t="str">
        <f>IF(AND('[2]Mapa final'!$Y$20="Muy Alta",'[2]Mapa final'!$AA$20="Leve"),CONCATENATE("R2C",'[2]Mapa final'!$O$20),"")</f>
        <v/>
      </c>
      <c r="M7" s="101" t="str">
        <f>IF(AND('[2]Mapa final'!$Y$21="Muy Alta",'[2]Mapa final'!$AA$21="Leve"),CONCATENATE("R2C",'[2]Mapa final'!$O$21),"")</f>
        <v/>
      </c>
      <c r="N7" s="101" t="str">
        <f>IF(AND('[2]Mapa final'!$Y$22="Muy Alta",'[2]Mapa final'!$AA$22="Leve"),CONCATENATE("R2C",'[2]Mapa final'!$O$22),"")</f>
        <v/>
      </c>
      <c r="O7" s="102" t="str">
        <f>IF(AND('[2]Mapa final'!$Y$23="Muy Alta",'[2]Mapa final'!$AA$23="Leve"),CONCATENATE("R2C",'[2]Mapa final'!$O$23),"")</f>
        <v/>
      </c>
      <c r="P7" s="100" t="str">
        <f>IF(AND('[2]Mapa final'!$Y$18="Muy Alta",'[2]Mapa final'!$AA$18="Menor"),CONCATENATE("R2C",'[2]Mapa final'!$O$18),"")</f>
        <v/>
      </c>
      <c r="Q7" s="101" t="str">
        <f>IF(AND('[2]Mapa final'!$Y$19="Muy Alta",'[2]Mapa final'!$AA$19="Menor"),CONCATENATE("R2C",'[2]Mapa final'!$O$19),"")</f>
        <v/>
      </c>
      <c r="R7" s="101" t="str">
        <f>IF(AND('[2]Mapa final'!$Y$20="Muy Alta",'[2]Mapa final'!$AA$20="Menor"),CONCATENATE("R2C",'[2]Mapa final'!$O$20),"")</f>
        <v/>
      </c>
      <c r="S7" s="101" t="str">
        <f>IF(AND('[2]Mapa final'!$Y$21="Muy Alta",'[2]Mapa final'!$AA$21="Menor"),CONCATENATE("R2C",'[2]Mapa final'!$O$21),"")</f>
        <v/>
      </c>
      <c r="T7" s="101" t="str">
        <f>IF(AND('[2]Mapa final'!$Y$22="Muy Alta",'[2]Mapa final'!$AA$22="Menor"),CONCATENATE("R2C",'[2]Mapa final'!$O$22),"")</f>
        <v/>
      </c>
      <c r="U7" s="102" t="str">
        <f>IF(AND('[2]Mapa final'!$Y$23="Muy Alta",'[2]Mapa final'!$AA$23="Menor"),CONCATENATE("R2C",'[2]Mapa final'!$O$23),"")</f>
        <v/>
      </c>
      <c r="V7" s="100" t="str">
        <f>IF(AND('[2]Mapa final'!$Y$18="Muy Alta",'[2]Mapa final'!$AA$18="Moderado"),CONCATENATE("R2C",'[2]Mapa final'!$O$18),"")</f>
        <v/>
      </c>
      <c r="W7" s="101" t="str">
        <f>IF(AND('[2]Mapa final'!$Y$19="Muy Alta",'[2]Mapa final'!$AA$19="Moderado"),CONCATENATE("R2C",'[2]Mapa final'!$O$19),"")</f>
        <v/>
      </c>
      <c r="X7" s="101" t="str">
        <f>IF(AND('[2]Mapa final'!$Y$20="Muy Alta",'[2]Mapa final'!$AA$20="Moderado"),CONCATENATE("R2C",'[2]Mapa final'!$O$20),"")</f>
        <v/>
      </c>
      <c r="Y7" s="101" t="str">
        <f>IF(AND('[2]Mapa final'!$Y$21="Muy Alta",'[2]Mapa final'!$AA$21="Moderado"),CONCATENATE("R2C",'[2]Mapa final'!$O$21),"")</f>
        <v/>
      </c>
      <c r="Z7" s="101" t="str">
        <f>IF(AND('[2]Mapa final'!$Y$22="Muy Alta",'[2]Mapa final'!$AA$22="Moderado"),CONCATENATE("R2C",'[2]Mapa final'!$O$22),"")</f>
        <v/>
      </c>
      <c r="AA7" s="102" t="str">
        <f>IF(AND('[2]Mapa final'!$Y$23="Muy Alta",'[2]Mapa final'!$AA$23="Moderado"),CONCATENATE("R2C",'[2]Mapa final'!$O$23),"")</f>
        <v/>
      </c>
      <c r="AB7" s="100" t="str">
        <f>IF(AND('[2]Mapa final'!$Y$18="Muy Alta",'[2]Mapa final'!$AA$18="Mayor"),CONCATENATE("R2C",'[2]Mapa final'!$O$18),"")</f>
        <v/>
      </c>
      <c r="AC7" s="101" t="str">
        <f>IF(AND('[2]Mapa final'!$Y$19="Muy Alta",'[2]Mapa final'!$AA$19="Mayor"),CONCATENATE("R2C",'[2]Mapa final'!$O$19),"")</f>
        <v/>
      </c>
      <c r="AD7" s="101" t="str">
        <f>IF(AND('[2]Mapa final'!$Y$20="Muy Alta",'[2]Mapa final'!$AA$20="Mayor"),CONCATENATE("R2C",'[2]Mapa final'!$O$20),"")</f>
        <v/>
      </c>
      <c r="AE7" s="101" t="str">
        <f>IF(AND('[2]Mapa final'!$Y$21="Muy Alta",'[2]Mapa final'!$AA$21="Mayor"),CONCATENATE("R2C",'[2]Mapa final'!$O$21),"")</f>
        <v/>
      </c>
      <c r="AF7" s="101" t="str">
        <f>IF(AND('[2]Mapa final'!$Y$22="Muy Alta",'[2]Mapa final'!$AA$22="Mayor"),CONCATENATE("R2C",'[2]Mapa final'!$O$22),"")</f>
        <v/>
      </c>
      <c r="AG7" s="102" t="str">
        <f>IF(AND('[2]Mapa final'!$Y$23="Muy Alta",'[2]Mapa final'!$AA$23="Mayor"),CONCATENATE("R2C",'[2]Mapa final'!$O$23),"")</f>
        <v/>
      </c>
      <c r="AH7" s="103" t="str">
        <f>IF(AND('[2]Mapa final'!$Y$18="Muy Alta",'[2]Mapa final'!$AA$18="Catastrófico"),CONCATENATE("R2C",'[2]Mapa final'!$O$18),"")</f>
        <v/>
      </c>
      <c r="AI7" s="104" t="str">
        <f>IF(AND('[2]Mapa final'!$Y$19="Muy Alta",'[2]Mapa final'!$AA$19="Catastrófico"),CONCATENATE("R2C",'[2]Mapa final'!$O$19),"")</f>
        <v/>
      </c>
      <c r="AJ7" s="104" t="str">
        <f>IF(AND('[2]Mapa final'!$Y$20="Muy Alta",'[2]Mapa final'!$AA$20="Catastrófico"),CONCATENATE("R2C",'[2]Mapa final'!$O$20),"")</f>
        <v/>
      </c>
      <c r="AK7" s="104" t="str">
        <f>IF(AND('[2]Mapa final'!$Y$21="Muy Alta",'[2]Mapa final'!$AA$21="Catastrófico"),CONCATENATE("R2C",'[2]Mapa final'!$O$21),"")</f>
        <v/>
      </c>
      <c r="AL7" s="104" t="str">
        <f>IF(AND('[2]Mapa final'!$Y$22="Muy Alta",'[2]Mapa final'!$AA$22="Catastrófico"),CONCATENATE("R2C",'[2]Mapa final'!$O$22),"")</f>
        <v/>
      </c>
      <c r="AM7" s="105" t="str">
        <f>IF(AND('[2]Mapa final'!$Y$23="Muy Alta",'[2]Mapa final'!$AA$23="Catastrófico"),CONCATENATE("R2C",'[2]Mapa final'!$O$23),"")</f>
        <v/>
      </c>
      <c r="AN7" s="92"/>
      <c r="AO7" s="434"/>
      <c r="AP7" s="435"/>
      <c r="AQ7" s="435"/>
      <c r="AR7" s="435"/>
      <c r="AS7" s="435"/>
      <c r="AT7" s="436"/>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row>
    <row r="8" spans="1:91" ht="15" customHeight="1">
      <c r="A8" s="92"/>
      <c r="B8" s="417"/>
      <c r="C8" s="417"/>
      <c r="D8" s="418"/>
      <c r="E8" s="422"/>
      <c r="F8" s="423"/>
      <c r="G8" s="423"/>
      <c r="H8" s="423"/>
      <c r="I8" s="424"/>
      <c r="J8" s="100" t="str">
        <f>IF(AND('[2]Mapa final'!$Y$24="Muy Alta",'[2]Mapa final'!$AA$24="Leve"),CONCATENATE("R3C",'[2]Mapa final'!$O$24),"")</f>
        <v/>
      </c>
      <c r="K8" s="101" t="str">
        <f>IF(AND('[2]Mapa final'!$Y$25="Muy Alta",'[2]Mapa final'!$AA$25="Leve"),CONCATENATE("R3C",'[2]Mapa final'!$O$25),"")</f>
        <v/>
      </c>
      <c r="L8" s="101" t="str">
        <f>IF(AND('[2]Mapa final'!$Y$26="Muy Alta",'[2]Mapa final'!$AA$26="Leve"),CONCATENATE("R3C",'[2]Mapa final'!$O$26),"")</f>
        <v/>
      </c>
      <c r="M8" s="101" t="str">
        <f>IF(AND('[2]Mapa final'!$Y$27="Muy Alta",'[2]Mapa final'!$AA$27="Leve"),CONCATENATE("R3C",'[2]Mapa final'!$O$27),"")</f>
        <v/>
      </c>
      <c r="N8" s="101" t="str">
        <f>IF(AND('[2]Mapa final'!$Y$28="Muy Alta",'[2]Mapa final'!$AA$28="Leve"),CONCATENATE("R3C",'[2]Mapa final'!$O$28),"")</f>
        <v/>
      </c>
      <c r="O8" s="102" t="str">
        <f>IF(AND('[2]Mapa final'!$Y$29="Muy Alta",'[2]Mapa final'!$AA$29="Leve"),CONCATENATE("R3C",'[2]Mapa final'!$O$29),"")</f>
        <v/>
      </c>
      <c r="P8" s="100" t="str">
        <f>IF(AND('[2]Mapa final'!$Y$24="Muy Alta",'[2]Mapa final'!$AA$24="Menor"),CONCATENATE("R3C",'[2]Mapa final'!$O$24),"")</f>
        <v/>
      </c>
      <c r="Q8" s="101" t="str">
        <f>IF(AND('[2]Mapa final'!$Y$25="Muy Alta",'[2]Mapa final'!$AA$25="Menor"),CONCATENATE("R3C",'[2]Mapa final'!$O$25),"")</f>
        <v/>
      </c>
      <c r="R8" s="101" t="str">
        <f>IF(AND('[2]Mapa final'!$Y$26="Muy Alta",'[2]Mapa final'!$AA$26="Menor"),CONCATENATE("R3C",'[2]Mapa final'!$O$26),"")</f>
        <v/>
      </c>
      <c r="S8" s="101" t="str">
        <f>IF(AND('[2]Mapa final'!$Y$27="Muy Alta",'[2]Mapa final'!$AA$27="Menor"),CONCATENATE("R3C",'[2]Mapa final'!$O$27),"")</f>
        <v/>
      </c>
      <c r="T8" s="101" t="str">
        <f>IF(AND('[2]Mapa final'!$Y$28="Muy Alta",'[2]Mapa final'!$AA$28="Menor"),CONCATENATE("R3C",'[2]Mapa final'!$O$28),"")</f>
        <v/>
      </c>
      <c r="U8" s="102" t="str">
        <f>IF(AND('[2]Mapa final'!$Y$29="Muy Alta",'[2]Mapa final'!$AA$29="Menor"),CONCATENATE("R3C",'[2]Mapa final'!$O$29),"")</f>
        <v/>
      </c>
      <c r="V8" s="100" t="str">
        <f>IF(AND('[2]Mapa final'!$Y$24="Muy Alta",'[2]Mapa final'!$AA$24="Moderado"),CONCATENATE("R3C",'[2]Mapa final'!$O$24),"")</f>
        <v/>
      </c>
      <c r="W8" s="101" t="str">
        <f>IF(AND('[2]Mapa final'!$Y$25="Muy Alta",'[2]Mapa final'!$AA$25="Moderado"),CONCATENATE("R3C",'[2]Mapa final'!$O$25),"")</f>
        <v/>
      </c>
      <c r="X8" s="101" t="str">
        <f>IF(AND('[2]Mapa final'!$Y$26="Muy Alta",'[2]Mapa final'!$AA$26="Moderado"),CONCATENATE("R3C",'[2]Mapa final'!$O$26),"")</f>
        <v/>
      </c>
      <c r="Y8" s="101" t="str">
        <f>IF(AND('[2]Mapa final'!$Y$27="Muy Alta",'[2]Mapa final'!$AA$27="Moderado"),CONCATENATE("R3C",'[2]Mapa final'!$O$27),"")</f>
        <v/>
      </c>
      <c r="Z8" s="101" t="str">
        <f>IF(AND('[2]Mapa final'!$Y$28="Muy Alta",'[2]Mapa final'!$AA$28="Moderado"),CONCATENATE("R3C",'[2]Mapa final'!$O$28),"")</f>
        <v/>
      </c>
      <c r="AA8" s="102" t="str">
        <f>IF(AND('[2]Mapa final'!$Y$29="Muy Alta",'[2]Mapa final'!$AA$29="Moderado"),CONCATENATE("R3C",'[2]Mapa final'!$O$29),"")</f>
        <v/>
      </c>
      <c r="AB8" s="100" t="str">
        <f>IF(AND('[2]Mapa final'!$Y$24="Muy Alta",'[2]Mapa final'!$AA$24="Mayor"),CONCATENATE("R3C",'[2]Mapa final'!$O$24),"")</f>
        <v/>
      </c>
      <c r="AC8" s="101" t="str">
        <f>IF(AND('[2]Mapa final'!$Y$25="Muy Alta",'[2]Mapa final'!$AA$25="Mayor"),CONCATENATE("R3C",'[2]Mapa final'!$O$25),"")</f>
        <v/>
      </c>
      <c r="AD8" s="101" t="str">
        <f>IF(AND('[2]Mapa final'!$Y$26="Muy Alta",'[2]Mapa final'!$AA$26="Mayor"),CONCATENATE("R3C",'[2]Mapa final'!$O$26),"")</f>
        <v/>
      </c>
      <c r="AE8" s="101" t="str">
        <f>IF(AND('[2]Mapa final'!$Y$27="Muy Alta",'[2]Mapa final'!$AA$27="Mayor"),CONCATENATE("R3C",'[2]Mapa final'!$O$27),"")</f>
        <v/>
      </c>
      <c r="AF8" s="101" t="str">
        <f>IF(AND('[2]Mapa final'!$Y$28="Muy Alta",'[2]Mapa final'!$AA$28="Mayor"),CONCATENATE("R3C",'[2]Mapa final'!$O$28),"")</f>
        <v/>
      </c>
      <c r="AG8" s="102" t="str">
        <f>IF(AND('[2]Mapa final'!$Y$29="Muy Alta",'[2]Mapa final'!$AA$29="Mayor"),CONCATENATE("R3C",'[2]Mapa final'!$O$29),"")</f>
        <v/>
      </c>
      <c r="AH8" s="103" t="str">
        <f>IF(AND('[2]Mapa final'!$Y$24="Muy Alta",'[2]Mapa final'!$AA$24="Catastrófico"),CONCATENATE("R3C",'[2]Mapa final'!$O$24),"")</f>
        <v/>
      </c>
      <c r="AI8" s="104" t="str">
        <f>IF(AND('[2]Mapa final'!$Y$25="Muy Alta",'[2]Mapa final'!$AA$25="Catastrófico"),CONCATENATE("R3C",'[2]Mapa final'!$O$25),"")</f>
        <v/>
      </c>
      <c r="AJ8" s="104" t="str">
        <f>IF(AND('[2]Mapa final'!$Y$26="Muy Alta",'[2]Mapa final'!$AA$26="Catastrófico"),CONCATENATE("R3C",'[2]Mapa final'!$O$26),"")</f>
        <v/>
      </c>
      <c r="AK8" s="104" t="str">
        <f>IF(AND('[2]Mapa final'!$Y$27="Muy Alta",'[2]Mapa final'!$AA$27="Catastrófico"),CONCATENATE("R3C",'[2]Mapa final'!$O$27),"")</f>
        <v/>
      </c>
      <c r="AL8" s="104" t="str">
        <f>IF(AND('[2]Mapa final'!$Y$28="Muy Alta",'[2]Mapa final'!$AA$28="Catastrófico"),CONCATENATE("R3C",'[2]Mapa final'!$O$28),"")</f>
        <v/>
      </c>
      <c r="AM8" s="105" t="str">
        <f>IF(AND('[2]Mapa final'!$Y$29="Muy Alta",'[2]Mapa final'!$AA$29="Catastrófico"),CONCATENATE("R3C",'[2]Mapa final'!$O$29),"")</f>
        <v/>
      </c>
      <c r="AN8" s="92"/>
      <c r="AO8" s="434"/>
      <c r="AP8" s="435"/>
      <c r="AQ8" s="435"/>
      <c r="AR8" s="435"/>
      <c r="AS8" s="435"/>
      <c r="AT8" s="436"/>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row>
    <row r="9" spans="1:91" ht="15" customHeight="1">
      <c r="A9" s="92"/>
      <c r="B9" s="417"/>
      <c r="C9" s="417"/>
      <c r="D9" s="418"/>
      <c r="E9" s="422"/>
      <c r="F9" s="423"/>
      <c r="G9" s="423"/>
      <c r="H9" s="423"/>
      <c r="I9" s="424"/>
      <c r="J9" s="100" t="e">
        <f>IF(AND('[2]Mapa final'!$Y$30="Muy Alta",'[2]Mapa final'!$AA$30="Leve"),CONCATENATE("R4C",'[2]Mapa final'!$O$30),"")</f>
        <v>#REF!</v>
      </c>
      <c r="K9" s="101" t="str">
        <f>IF(AND('[2]Mapa final'!$Y$31="Muy Alta",'[2]Mapa final'!$AA$31="Leve"),CONCATENATE("R4C",'[2]Mapa final'!$O$31),"")</f>
        <v/>
      </c>
      <c r="L9" s="101" t="str">
        <f>IF(AND('[2]Mapa final'!$Y$32="Muy Alta",'[2]Mapa final'!$AA$32="Leve"),CONCATENATE("R4C",'[2]Mapa final'!$O$32),"")</f>
        <v/>
      </c>
      <c r="M9" s="101" t="str">
        <f>IF(AND('[2]Mapa final'!$Y$33="Muy Alta",'[2]Mapa final'!$AA$33="Leve"),CONCATENATE("R4C",'[2]Mapa final'!$O$33),"")</f>
        <v/>
      </c>
      <c r="N9" s="101" t="str">
        <f>IF(AND('[2]Mapa final'!$Y$34="Muy Alta",'[2]Mapa final'!$AA$34="Leve"),CONCATENATE("R4C",'[2]Mapa final'!$O$34),"")</f>
        <v/>
      </c>
      <c r="O9" s="102" t="str">
        <f>IF(AND('[2]Mapa final'!$Y$35="Muy Alta",'[2]Mapa final'!$AA$35="Leve"),CONCATENATE("R4C",'[2]Mapa final'!$O$35),"")</f>
        <v/>
      </c>
      <c r="P9" s="100" t="e">
        <f>IF(AND('[2]Mapa final'!$Y$30="Muy Alta",'[2]Mapa final'!$AA$30="Menor"),CONCATENATE("R4C",'[2]Mapa final'!$O$30),"")</f>
        <v>#REF!</v>
      </c>
      <c r="Q9" s="101" t="str">
        <f>IF(AND('[2]Mapa final'!$Y$31="Muy Alta",'[2]Mapa final'!$AA$31="Menor"),CONCATENATE("R4C",'[2]Mapa final'!$O$31),"")</f>
        <v/>
      </c>
      <c r="R9" s="101" t="str">
        <f>IF(AND('[2]Mapa final'!$Y$32="Muy Alta",'[2]Mapa final'!$AA$32="Menor"),CONCATENATE("R4C",'[2]Mapa final'!$O$32),"")</f>
        <v/>
      </c>
      <c r="S9" s="101" t="str">
        <f>IF(AND('[2]Mapa final'!$Y$33="Muy Alta",'[2]Mapa final'!$AA$33="Menor"),CONCATENATE("R4C",'[2]Mapa final'!$O$33),"")</f>
        <v/>
      </c>
      <c r="T9" s="101" t="str">
        <f>IF(AND('[2]Mapa final'!$Y$34="Muy Alta",'[2]Mapa final'!$AA$34="Menor"),CONCATENATE("R4C",'[2]Mapa final'!$O$34),"")</f>
        <v/>
      </c>
      <c r="U9" s="102" t="str">
        <f>IF(AND('[2]Mapa final'!$Y$35="Muy Alta",'[2]Mapa final'!$AA$35="Menor"),CONCATENATE("R4C",'[2]Mapa final'!$O$35),"")</f>
        <v/>
      </c>
      <c r="V9" s="100" t="e">
        <f>IF(AND('[2]Mapa final'!$Y$30="Muy Alta",'[2]Mapa final'!$AA$30="Moderado"),CONCATENATE("R4C",'[2]Mapa final'!$O$30),"")</f>
        <v>#REF!</v>
      </c>
      <c r="W9" s="101" t="str">
        <f>IF(AND('[2]Mapa final'!$Y$31="Muy Alta",'[2]Mapa final'!$AA$31="Moderado"),CONCATENATE("R4C",'[2]Mapa final'!$O$31),"")</f>
        <v/>
      </c>
      <c r="X9" s="101" t="str">
        <f>IF(AND('[2]Mapa final'!$Y$32="Muy Alta",'[2]Mapa final'!$AA$32="Moderado"),CONCATENATE("R4C",'[2]Mapa final'!$O$32),"")</f>
        <v/>
      </c>
      <c r="Y9" s="101" t="str">
        <f>IF(AND('[2]Mapa final'!$Y$33="Muy Alta",'[2]Mapa final'!$AA$33="Moderado"),CONCATENATE("R4C",'[2]Mapa final'!$O$33),"")</f>
        <v/>
      </c>
      <c r="Z9" s="101" t="str">
        <f>IF(AND('[2]Mapa final'!$Y$34="Muy Alta",'[2]Mapa final'!$AA$34="Moderado"),CONCATENATE("R4C",'[2]Mapa final'!$O$34),"")</f>
        <v/>
      </c>
      <c r="AA9" s="102" t="str">
        <f>IF(AND('[2]Mapa final'!$Y$35="Muy Alta",'[2]Mapa final'!$AA$35="Moderado"),CONCATENATE("R4C",'[2]Mapa final'!$O$35),"")</f>
        <v/>
      </c>
      <c r="AB9" s="100" t="e">
        <f>IF(AND('[2]Mapa final'!$Y$30="Muy Alta",'[2]Mapa final'!$AA$30="Mayor"),CONCATENATE("R4C",'[2]Mapa final'!$O$30),"")</f>
        <v>#REF!</v>
      </c>
      <c r="AC9" s="101" t="str">
        <f>IF(AND('[2]Mapa final'!$Y$31="Muy Alta",'[2]Mapa final'!$AA$31="Mayor"),CONCATENATE("R4C",'[2]Mapa final'!$O$31),"")</f>
        <v/>
      </c>
      <c r="AD9" s="101" t="str">
        <f>IF(AND('[2]Mapa final'!$Y$32="Muy Alta",'[2]Mapa final'!$AA$32="Mayor"),CONCATENATE("R4C",'[2]Mapa final'!$O$32),"")</f>
        <v/>
      </c>
      <c r="AE9" s="101" t="str">
        <f>IF(AND('[2]Mapa final'!$Y$33="Muy Alta",'[2]Mapa final'!$AA$33="Mayor"),CONCATENATE("R4C",'[2]Mapa final'!$O$33),"")</f>
        <v/>
      </c>
      <c r="AF9" s="101" t="str">
        <f>IF(AND('[2]Mapa final'!$Y$34="Muy Alta",'[2]Mapa final'!$AA$34="Mayor"),CONCATENATE("R4C",'[2]Mapa final'!$O$34),"")</f>
        <v/>
      </c>
      <c r="AG9" s="102" t="str">
        <f>IF(AND('[2]Mapa final'!$Y$35="Muy Alta",'[2]Mapa final'!$AA$35="Mayor"),CONCATENATE("R4C",'[2]Mapa final'!$O$35),"")</f>
        <v/>
      </c>
      <c r="AH9" s="103" t="e">
        <f>IF(AND('[2]Mapa final'!$Y$30="Muy Alta",'[2]Mapa final'!$AA$30="Catastrófico"),CONCATENATE("R4C",'[2]Mapa final'!$O$30),"")</f>
        <v>#REF!</v>
      </c>
      <c r="AI9" s="104" t="str">
        <f>IF(AND('[2]Mapa final'!$Y$31="Muy Alta",'[2]Mapa final'!$AA$31="Catastrófico"),CONCATENATE("R4C",'[2]Mapa final'!$O$31),"")</f>
        <v/>
      </c>
      <c r="AJ9" s="104" t="str">
        <f>IF(AND('[2]Mapa final'!$Y$32="Muy Alta",'[2]Mapa final'!$AA$32="Catastrófico"),CONCATENATE("R4C",'[2]Mapa final'!$O$32),"")</f>
        <v/>
      </c>
      <c r="AK9" s="104" t="str">
        <f>IF(AND('[2]Mapa final'!$Y$33="Muy Alta",'[2]Mapa final'!$AA$33="Catastrófico"),CONCATENATE("R4C",'[2]Mapa final'!$O$33),"")</f>
        <v/>
      </c>
      <c r="AL9" s="104" t="str">
        <f>IF(AND('[2]Mapa final'!$Y$34="Muy Alta",'[2]Mapa final'!$AA$34="Catastrófico"),CONCATENATE("R4C",'[2]Mapa final'!$O$34),"")</f>
        <v/>
      </c>
      <c r="AM9" s="105" t="str">
        <f>IF(AND('[2]Mapa final'!$Y$35="Muy Alta",'[2]Mapa final'!$AA$35="Catastrófico"),CONCATENATE("R4C",'[2]Mapa final'!$O$35),"")</f>
        <v/>
      </c>
      <c r="AN9" s="92"/>
      <c r="AO9" s="434"/>
      <c r="AP9" s="435"/>
      <c r="AQ9" s="435"/>
      <c r="AR9" s="435"/>
      <c r="AS9" s="435"/>
      <c r="AT9" s="436"/>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row>
    <row r="10" spans="1:91" ht="15" customHeight="1">
      <c r="A10" s="92"/>
      <c r="B10" s="417"/>
      <c r="C10" s="417"/>
      <c r="D10" s="418"/>
      <c r="E10" s="422"/>
      <c r="F10" s="423"/>
      <c r="G10" s="423"/>
      <c r="H10" s="423"/>
      <c r="I10" s="424"/>
      <c r="J10" s="100" t="str">
        <f>IF(AND('[2]Mapa final'!$Y$36="Muy Alta",'[2]Mapa final'!$AA$36="Leve"),CONCATENATE("R5C",'[2]Mapa final'!$O$36),"")</f>
        <v/>
      </c>
      <c r="K10" s="101" t="str">
        <f>IF(AND('[2]Mapa final'!$Y$37="Muy Alta",'[2]Mapa final'!$AA$37="Leve"),CONCATENATE("R5C",'[2]Mapa final'!$O$37),"")</f>
        <v/>
      </c>
      <c r="L10" s="101" t="str">
        <f>IF(AND('[2]Mapa final'!$Y$38="Muy Alta",'[2]Mapa final'!$AA$38="Leve"),CONCATENATE("R5C",'[2]Mapa final'!$O$38),"")</f>
        <v/>
      </c>
      <c r="M10" s="101" t="str">
        <f>IF(AND('[2]Mapa final'!$Y$39="Muy Alta",'[2]Mapa final'!$AA$39="Leve"),CONCATENATE("R5C",'[2]Mapa final'!$O$39),"")</f>
        <v/>
      </c>
      <c r="N10" s="101" t="str">
        <f>IF(AND('[2]Mapa final'!$Y$40="Muy Alta",'[2]Mapa final'!$AA$40="Leve"),CONCATENATE("R5C",'[2]Mapa final'!$O$40),"")</f>
        <v/>
      </c>
      <c r="O10" s="102" t="str">
        <f>IF(AND('[2]Mapa final'!$Y$41="Muy Alta",'[2]Mapa final'!$AA$41="Leve"),CONCATENATE("R5C",'[2]Mapa final'!$O$41),"")</f>
        <v/>
      </c>
      <c r="P10" s="100" t="str">
        <f>IF(AND('[2]Mapa final'!$Y$36="Muy Alta",'[2]Mapa final'!$AA$36="Menor"),CONCATENATE("R5C",'[2]Mapa final'!$O$36),"")</f>
        <v/>
      </c>
      <c r="Q10" s="101" t="str">
        <f>IF(AND('[2]Mapa final'!$Y$37="Muy Alta",'[2]Mapa final'!$AA$37="Menor"),CONCATENATE("R5C",'[2]Mapa final'!$O$37),"")</f>
        <v/>
      </c>
      <c r="R10" s="101" t="str">
        <f>IF(AND('[2]Mapa final'!$Y$38="Muy Alta",'[2]Mapa final'!$AA$38="Menor"),CONCATENATE("R5C",'[2]Mapa final'!$O$38),"")</f>
        <v/>
      </c>
      <c r="S10" s="101" t="str">
        <f>IF(AND('[2]Mapa final'!$Y$39="Muy Alta",'[2]Mapa final'!$AA$39="Menor"),CONCATENATE("R5C",'[2]Mapa final'!$O$39),"")</f>
        <v/>
      </c>
      <c r="T10" s="101" t="str">
        <f>IF(AND('[2]Mapa final'!$Y$40="Muy Alta",'[2]Mapa final'!$AA$40="Menor"),CONCATENATE("R5C",'[2]Mapa final'!$O$40),"")</f>
        <v/>
      </c>
      <c r="U10" s="102" t="str">
        <f>IF(AND('[2]Mapa final'!$Y$41="Muy Alta",'[2]Mapa final'!$AA$41="Menor"),CONCATENATE("R5C",'[2]Mapa final'!$O$41),"")</f>
        <v/>
      </c>
      <c r="V10" s="100" t="str">
        <f>IF(AND('[2]Mapa final'!$Y$36="Muy Alta",'[2]Mapa final'!$AA$36="Moderado"),CONCATENATE("R5C",'[2]Mapa final'!$O$36),"")</f>
        <v/>
      </c>
      <c r="W10" s="101" t="str">
        <f>IF(AND('[2]Mapa final'!$Y$37="Muy Alta",'[2]Mapa final'!$AA$37="Moderado"),CONCATENATE("R5C",'[2]Mapa final'!$O$37),"")</f>
        <v/>
      </c>
      <c r="X10" s="101" t="str">
        <f>IF(AND('[2]Mapa final'!$Y$38="Muy Alta",'[2]Mapa final'!$AA$38="Moderado"),CONCATENATE("R5C",'[2]Mapa final'!$O$38),"")</f>
        <v/>
      </c>
      <c r="Y10" s="101" t="str">
        <f>IF(AND('[2]Mapa final'!$Y$39="Muy Alta",'[2]Mapa final'!$AA$39="Moderado"),CONCATENATE("R5C",'[2]Mapa final'!$O$39),"")</f>
        <v/>
      </c>
      <c r="Z10" s="101" t="str">
        <f>IF(AND('[2]Mapa final'!$Y$40="Muy Alta",'[2]Mapa final'!$AA$40="Moderado"),CONCATENATE("R5C",'[2]Mapa final'!$O$40),"")</f>
        <v/>
      </c>
      <c r="AA10" s="102" t="str">
        <f>IF(AND('[2]Mapa final'!$Y$41="Muy Alta",'[2]Mapa final'!$AA$41="Moderado"),CONCATENATE("R5C",'[2]Mapa final'!$O$41),"")</f>
        <v/>
      </c>
      <c r="AB10" s="100" t="str">
        <f>IF(AND('[2]Mapa final'!$Y$36="Muy Alta",'[2]Mapa final'!$AA$36="Mayor"),CONCATENATE("R5C",'[2]Mapa final'!$O$36),"")</f>
        <v/>
      </c>
      <c r="AC10" s="101" t="str">
        <f>IF(AND('[2]Mapa final'!$Y$37="Muy Alta",'[2]Mapa final'!$AA$37="Mayor"),CONCATENATE("R5C",'[2]Mapa final'!$O$37),"")</f>
        <v/>
      </c>
      <c r="AD10" s="101" t="str">
        <f>IF(AND('[2]Mapa final'!$Y$38="Muy Alta",'[2]Mapa final'!$AA$38="Mayor"),CONCATENATE("R5C",'[2]Mapa final'!$O$38),"")</f>
        <v/>
      </c>
      <c r="AE10" s="101" t="str">
        <f>IF(AND('[2]Mapa final'!$Y$39="Muy Alta",'[2]Mapa final'!$AA$39="Mayor"),CONCATENATE("R5C",'[2]Mapa final'!$O$39),"")</f>
        <v/>
      </c>
      <c r="AF10" s="101" t="str">
        <f>IF(AND('[2]Mapa final'!$Y$40="Muy Alta",'[2]Mapa final'!$AA$40="Mayor"),CONCATENATE("R5C",'[2]Mapa final'!$O$40),"")</f>
        <v/>
      </c>
      <c r="AG10" s="102" t="str">
        <f>IF(AND('[2]Mapa final'!$Y$41="Muy Alta",'[2]Mapa final'!$AA$41="Mayor"),CONCATENATE("R5C",'[2]Mapa final'!$O$41),"")</f>
        <v/>
      </c>
      <c r="AH10" s="103" t="str">
        <f>IF(AND('[2]Mapa final'!$Y$36="Muy Alta",'[2]Mapa final'!$AA$36="Catastrófico"),CONCATENATE("R5C",'[2]Mapa final'!$O$36),"")</f>
        <v/>
      </c>
      <c r="AI10" s="104" t="str">
        <f>IF(AND('[2]Mapa final'!$Y$37="Muy Alta",'[2]Mapa final'!$AA$37="Catastrófico"),CONCATENATE("R5C",'[2]Mapa final'!$O$37),"")</f>
        <v/>
      </c>
      <c r="AJ10" s="104" t="str">
        <f>IF(AND('[2]Mapa final'!$Y$38="Muy Alta",'[2]Mapa final'!$AA$38="Catastrófico"),CONCATENATE("R5C",'[2]Mapa final'!$O$38),"")</f>
        <v/>
      </c>
      <c r="AK10" s="104" t="str">
        <f>IF(AND('[2]Mapa final'!$Y$39="Muy Alta",'[2]Mapa final'!$AA$39="Catastrófico"),CONCATENATE("R5C",'[2]Mapa final'!$O$39),"")</f>
        <v/>
      </c>
      <c r="AL10" s="104" t="str">
        <f>IF(AND('[2]Mapa final'!$Y$40="Muy Alta",'[2]Mapa final'!$AA$40="Catastrófico"),CONCATENATE("R5C",'[2]Mapa final'!$O$40),"")</f>
        <v/>
      </c>
      <c r="AM10" s="105" t="str">
        <f>IF(AND('[2]Mapa final'!$Y$41="Muy Alta",'[2]Mapa final'!$AA$41="Catastrófico"),CONCATENATE("R5C",'[2]Mapa final'!$O$41),"")</f>
        <v/>
      </c>
      <c r="AN10" s="92"/>
      <c r="AO10" s="434"/>
      <c r="AP10" s="435"/>
      <c r="AQ10" s="435"/>
      <c r="AR10" s="435"/>
      <c r="AS10" s="435"/>
      <c r="AT10" s="436"/>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row>
    <row r="11" spans="1:91" ht="15" customHeight="1">
      <c r="A11" s="92"/>
      <c r="B11" s="417"/>
      <c r="C11" s="417"/>
      <c r="D11" s="418"/>
      <c r="E11" s="422"/>
      <c r="F11" s="423"/>
      <c r="G11" s="423"/>
      <c r="H11" s="423"/>
      <c r="I11" s="424"/>
      <c r="J11" s="100" t="str">
        <f>IF(AND('[2]Mapa final'!$Y$42="Muy Alta",'[2]Mapa final'!$AA$42="Leve"),CONCATENATE("R6C",'[2]Mapa final'!$O$42),"")</f>
        <v/>
      </c>
      <c r="K11" s="101" t="str">
        <f>IF(AND('[2]Mapa final'!$Y$43="Muy Alta",'[2]Mapa final'!$AA$43="Leve"),CONCATENATE("R6C",'[2]Mapa final'!$O$43),"")</f>
        <v/>
      </c>
      <c r="L11" s="101" t="str">
        <f>IF(AND('[2]Mapa final'!$Y$44="Muy Alta",'[2]Mapa final'!$AA$44="Leve"),CONCATENATE("R6C",'[2]Mapa final'!$O$44),"")</f>
        <v/>
      </c>
      <c r="M11" s="101" t="str">
        <f>IF(AND('[2]Mapa final'!$Y$45="Muy Alta",'[2]Mapa final'!$AA$45="Leve"),CONCATENATE("R6C",'[2]Mapa final'!$O$45),"")</f>
        <v/>
      </c>
      <c r="N11" s="101" t="str">
        <f>IF(AND('[2]Mapa final'!$Y$46="Muy Alta",'[2]Mapa final'!$AA$46="Leve"),CONCATENATE("R6C",'[2]Mapa final'!$O$46),"")</f>
        <v/>
      </c>
      <c r="O11" s="102" t="str">
        <f>IF(AND('[2]Mapa final'!$Y$47="Muy Alta",'[2]Mapa final'!$AA$47="Leve"),CONCATENATE("R6C",'[2]Mapa final'!$O$47),"")</f>
        <v/>
      </c>
      <c r="P11" s="100" t="str">
        <f>IF(AND('[2]Mapa final'!$Y$42="Muy Alta",'[2]Mapa final'!$AA$42="Menor"),CONCATENATE("R6C",'[2]Mapa final'!$O$42),"")</f>
        <v/>
      </c>
      <c r="Q11" s="101" t="str">
        <f>IF(AND('[2]Mapa final'!$Y$43="Muy Alta",'[2]Mapa final'!$AA$43="Menor"),CONCATENATE("R6C",'[2]Mapa final'!$O$43),"")</f>
        <v/>
      </c>
      <c r="R11" s="101" t="str">
        <f>IF(AND('[2]Mapa final'!$Y$44="Muy Alta",'[2]Mapa final'!$AA$44="Menor"),CONCATENATE("R6C",'[2]Mapa final'!$O$44),"")</f>
        <v/>
      </c>
      <c r="S11" s="101" t="str">
        <f>IF(AND('[2]Mapa final'!$Y$45="Muy Alta",'[2]Mapa final'!$AA$45="Menor"),CONCATENATE("R6C",'[2]Mapa final'!$O$45),"")</f>
        <v/>
      </c>
      <c r="T11" s="101" t="str">
        <f>IF(AND('[2]Mapa final'!$Y$46="Muy Alta",'[2]Mapa final'!$AA$46="Menor"),CONCATENATE("R6C",'[2]Mapa final'!$O$46),"")</f>
        <v/>
      </c>
      <c r="U11" s="102" t="str">
        <f>IF(AND('[2]Mapa final'!$Y$47="Muy Alta",'[2]Mapa final'!$AA$47="Menor"),CONCATENATE("R6C",'[2]Mapa final'!$O$47),"")</f>
        <v/>
      </c>
      <c r="V11" s="100" t="str">
        <f>IF(AND('[2]Mapa final'!$Y$42="Muy Alta",'[2]Mapa final'!$AA$42="Moderado"),CONCATENATE("R6C",'[2]Mapa final'!$O$42),"")</f>
        <v/>
      </c>
      <c r="W11" s="101" t="str">
        <f>IF(AND('[2]Mapa final'!$Y$43="Muy Alta",'[2]Mapa final'!$AA$43="Moderado"),CONCATENATE("R6C",'[2]Mapa final'!$O$43),"")</f>
        <v/>
      </c>
      <c r="X11" s="101" t="str">
        <f>IF(AND('[2]Mapa final'!$Y$44="Muy Alta",'[2]Mapa final'!$AA$44="Moderado"),CONCATENATE("R6C",'[2]Mapa final'!$O$44),"")</f>
        <v/>
      </c>
      <c r="Y11" s="101" t="str">
        <f>IF(AND('[2]Mapa final'!$Y$45="Muy Alta",'[2]Mapa final'!$AA$45="Moderado"),CONCATENATE("R6C",'[2]Mapa final'!$O$45),"")</f>
        <v/>
      </c>
      <c r="Z11" s="101" t="str">
        <f>IF(AND('[2]Mapa final'!$Y$46="Muy Alta",'[2]Mapa final'!$AA$46="Moderado"),CONCATENATE("R6C",'[2]Mapa final'!$O$46),"")</f>
        <v/>
      </c>
      <c r="AA11" s="102" t="str">
        <f>IF(AND('[2]Mapa final'!$Y$47="Muy Alta",'[2]Mapa final'!$AA$47="Moderado"),CONCATENATE("R6C",'[2]Mapa final'!$O$47),"")</f>
        <v/>
      </c>
      <c r="AB11" s="100" t="str">
        <f>IF(AND('[2]Mapa final'!$Y$42="Muy Alta",'[2]Mapa final'!$AA$42="Mayor"),CONCATENATE("R6C",'[2]Mapa final'!$O$42),"")</f>
        <v/>
      </c>
      <c r="AC11" s="101" t="str">
        <f>IF(AND('[2]Mapa final'!$Y$43="Muy Alta",'[2]Mapa final'!$AA$43="Mayor"),CONCATENATE("R6C",'[2]Mapa final'!$O$43),"")</f>
        <v/>
      </c>
      <c r="AD11" s="101" t="str">
        <f>IF(AND('[2]Mapa final'!$Y$44="Muy Alta",'[2]Mapa final'!$AA$44="Mayor"),CONCATENATE("R6C",'[2]Mapa final'!$O$44),"")</f>
        <v/>
      </c>
      <c r="AE11" s="101" t="str">
        <f>IF(AND('[2]Mapa final'!$Y$45="Muy Alta",'[2]Mapa final'!$AA$45="Mayor"),CONCATENATE("R6C",'[2]Mapa final'!$O$45),"")</f>
        <v/>
      </c>
      <c r="AF11" s="101" t="str">
        <f>IF(AND('[2]Mapa final'!$Y$46="Muy Alta",'[2]Mapa final'!$AA$46="Mayor"),CONCATENATE("R6C",'[2]Mapa final'!$O$46),"")</f>
        <v/>
      </c>
      <c r="AG11" s="102" t="str">
        <f>IF(AND('[2]Mapa final'!$Y$47="Muy Alta",'[2]Mapa final'!$AA$47="Mayor"),CONCATENATE("R6C",'[2]Mapa final'!$O$47),"")</f>
        <v/>
      </c>
      <c r="AH11" s="103" t="str">
        <f>IF(AND('[2]Mapa final'!$Y$42="Muy Alta",'[2]Mapa final'!$AA$42="Catastrófico"),CONCATENATE("R6C",'[2]Mapa final'!$O$42),"")</f>
        <v/>
      </c>
      <c r="AI11" s="104" t="str">
        <f>IF(AND('[2]Mapa final'!$Y$43="Muy Alta",'[2]Mapa final'!$AA$43="Catastrófico"),CONCATENATE("R6C",'[2]Mapa final'!$O$43),"")</f>
        <v/>
      </c>
      <c r="AJ11" s="104" t="str">
        <f>IF(AND('[2]Mapa final'!$Y$44="Muy Alta",'[2]Mapa final'!$AA$44="Catastrófico"),CONCATENATE("R6C",'[2]Mapa final'!$O$44),"")</f>
        <v/>
      </c>
      <c r="AK11" s="104" t="str">
        <f>IF(AND('[2]Mapa final'!$Y$45="Muy Alta",'[2]Mapa final'!$AA$45="Catastrófico"),CONCATENATE("R6C",'[2]Mapa final'!$O$45),"")</f>
        <v/>
      </c>
      <c r="AL11" s="104" t="str">
        <f>IF(AND('[2]Mapa final'!$Y$46="Muy Alta",'[2]Mapa final'!$AA$46="Catastrófico"),CONCATENATE("R6C",'[2]Mapa final'!$O$46),"")</f>
        <v/>
      </c>
      <c r="AM11" s="105" t="str">
        <f>IF(AND('[2]Mapa final'!$Y$47="Muy Alta",'[2]Mapa final'!$AA$47="Catastrófico"),CONCATENATE("R6C",'[2]Mapa final'!$O$47),"")</f>
        <v/>
      </c>
      <c r="AN11" s="92"/>
      <c r="AO11" s="434"/>
      <c r="AP11" s="435"/>
      <c r="AQ11" s="435"/>
      <c r="AR11" s="435"/>
      <c r="AS11" s="435"/>
      <c r="AT11" s="436"/>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row>
    <row r="12" spans="1:91" ht="15" customHeight="1">
      <c r="A12" s="92"/>
      <c r="B12" s="417"/>
      <c r="C12" s="417"/>
      <c r="D12" s="418"/>
      <c r="E12" s="422"/>
      <c r="F12" s="423"/>
      <c r="G12" s="423"/>
      <c r="H12" s="423"/>
      <c r="I12" s="424"/>
      <c r="J12" s="100" t="str">
        <f>IF(AND('[2]Mapa final'!$Y$48="Muy Alta",'[2]Mapa final'!$AA$48="Leve"),CONCATENATE("R7C",'[2]Mapa final'!$O$48),"")</f>
        <v/>
      </c>
      <c r="K12" s="101" t="str">
        <f>IF(AND('[2]Mapa final'!$Y$49="Muy Alta",'[2]Mapa final'!$AA$49="Leve"),CONCATENATE("R7C",'[2]Mapa final'!$O$49),"")</f>
        <v/>
      </c>
      <c r="L12" s="101" t="str">
        <f>IF(AND('[2]Mapa final'!$Y$50="Muy Alta",'[2]Mapa final'!$AA$50="Leve"),CONCATENATE("R7C",'[2]Mapa final'!$O$50),"")</f>
        <v/>
      </c>
      <c r="M12" s="101" t="str">
        <f>IF(AND('[2]Mapa final'!$Y$51="Muy Alta",'[2]Mapa final'!$AA$51="Leve"),CONCATENATE("R7C",'[2]Mapa final'!$O$51),"")</f>
        <v/>
      </c>
      <c r="N12" s="101" t="str">
        <f>IF(AND('[2]Mapa final'!$Y$52="Muy Alta",'[2]Mapa final'!$AA$52="Leve"),CONCATENATE("R7C",'[2]Mapa final'!$O$52),"")</f>
        <v/>
      </c>
      <c r="O12" s="102" t="str">
        <f>IF(AND('[2]Mapa final'!$Y$53="Muy Alta",'[2]Mapa final'!$AA$53="Leve"),CONCATENATE("R7C",'[2]Mapa final'!$O$53),"")</f>
        <v/>
      </c>
      <c r="P12" s="100" t="str">
        <f>IF(AND('[2]Mapa final'!$Y$48="Muy Alta",'[2]Mapa final'!$AA$48="Menor"),CONCATENATE("R7C",'[2]Mapa final'!$O$48),"")</f>
        <v/>
      </c>
      <c r="Q12" s="101" t="str">
        <f>IF(AND('[2]Mapa final'!$Y$49="Muy Alta",'[2]Mapa final'!$AA$49="Menor"),CONCATENATE("R7C",'[2]Mapa final'!$O$49),"")</f>
        <v/>
      </c>
      <c r="R12" s="101" t="str">
        <f>IF(AND('[2]Mapa final'!$Y$50="Muy Alta",'[2]Mapa final'!$AA$50="Menor"),CONCATENATE("R7C",'[2]Mapa final'!$O$50),"")</f>
        <v/>
      </c>
      <c r="S12" s="101" t="str">
        <f>IF(AND('[2]Mapa final'!$Y$51="Muy Alta",'[2]Mapa final'!$AA$51="Menor"),CONCATENATE("R7C",'[2]Mapa final'!$O$51),"")</f>
        <v/>
      </c>
      <c r="T12" s="101" t="str">
        <f>IF(AND('[2]Mapa final'!$Y$52="Muy Alta",'[2]Mapa final'!$AA$52="Menor"),CONCATENATE("R7C",'[2]Mapa final'!$O$52),"")</f>
        <v/>
      </c>
      <c r="U12" s="102" t="str">
        <f>IF(AND('[2]Mapa final'!$Y$53="Muy Alta",'[2]Mapa final'!$AA$53="Menor"),CONCATENATE("R7C",'[2]Mapa final'!$O$53),"")</f>
        <v/>
      </c>
      <c r="V12" s="100" t="str">
        <f>IF(AND('[2]Mapa final'!$Y$48="Muy Alta",'[2]Mapa final'!$AA$48="Moderado"),CONCATENATE("R7C",'[2]Mapa final'!$O$48),"")</f>
        <v/>
      </c>
      <c r="W12" s="101" t="str">
        <f>IF(AND('[2]Mapa final'!$Y$49="Muy Alta",'[2]Mapa final'!$AA$49="Moderado"),CONCATENATE("R7C",'[2]Mapa final'!$O$49),"")</f>
        <v/>
      </c>
      <c r="X12" s="101" t="str">
        <f>IF(AND('[2]Mapa final'!$Y$50="Muy Alta",'[2]Mapa final'!$AA$50="Moderado"),CONCATENATE("R7C",'[2]Mapa final'!$O$50),"")</f>
        <v/>
      </c>
      <c r="Y12" s="101" t="str">
        <f>IF(AND('[2]Mapa final'!$Y$51="Muy Alta",'[2]Mapa final'!$AA$51="Moderado"),CONCATENATE("R7C",'[2]Mapa final'!$O$51),"")</f>
        <v/>
      </c>
      <c r="Z12" s="101" t="str">
        <f>IF(AND('[2]Mapa final'!$Y$52="Muy Alta",'[2]Mapa final'!$AA$52="Moderado"),CONCATENATE("R7C",'[2]Mapa final'!$O$52),"")</f>
        <v/>
      </c>
      <c r="AA12" s="102" t="str">
        <f>IF(AND('[2]Mapa final'!$Y$53="Muy Alta",'[2]Mapa final'!$AA$53="Moderado"),CONCATENATE("R7C",'[2]Mapa final'!$O$53),"")</f>
        <v/>
      </c>
      <c r="AB12" s="100" t="str">
        <f>IF(AND('[2]Mapa final'!$Y$48="Muy Alta",'[2]Mapa final'!$AA$48="Mayor"),CONCATENATE("R7C",'[2]Mapa final'!$O$48),"")</f>
        <v/>
      </c>
      <c r="AC12" s="101" t="str">
        <f>IF(AND('[2]Mapa final'!$Y$49="Muy Alta",'[2]Mapa final'!$AA$49="Mayor"),CONCATENATE("R7C",'[2]Mapa final'!$O$49),"")</f>
        <v/>
      </c>
      <c r="AD12" s="101" t="str">
        <f>IF(AND('[2]Mapa final'!$Y$50="Muy Alta",'[2]Mapa final'!$AA$50="Mayor"),CONCATENATE("R7C",'[2]Mapa final'!$O$50),"")</f>
        <v/>
      </c>
      <c r="AE12" s="101" t="str">
        <f>IF(AND('[2]Mapa final'!$Y$51="Muy Alta",'[2]Mapa final'!$AA$51="Mayor"),CONCATENATE("R7C",'[2]Mapa final'!$O$51),"")</f>
        <v/>
      </c>
      <c r="AF12" s="101" t="str">
        <f>IF(AND('[2]Mapa final'!$Y$52="Muy Alta",'[2]Mapa final'!$AA$52="Mayor"),CONCATENATE("R7C",'[2]Mapa final'!$O$52),"")</f>
        <v/>
      </c>
      <c r="AG12" s="102" t="str">
        <f>IF(AND('[2]Mapa final'!$Y$53="Muy Alta",'[2]Mapa final'!$AA$53="Mayor"),CONCATENATE("R7C",'[2]Mapa final'!$O$53),"")</f>
        <v/>
      </c>
      <c r="AH12" s="103" t="str">
        <f>IF(AND('[2]Mapa final'!$Y$48="Muy Alta",'[2]Mapa final'!$AA$48="Catastrófico"),CONCATENATE("R7C",'[2]Mapa final'!$O$48),"")</f>
        <v/>
      </c>
      <c r="AI12" s="104" t="str">
        <f>IF(AND('[2]Mapa final'!$Y$49="Muy Alta",'[2]Mapa final'!$AA$49="Catastrófico"),CONCATENATE("R7C",'[2]Mapa final'!$O$49),"")</f>
        <v/>
      </c>
      <c r="AJ12" s="104" t="str">
        <f>IF(AND('[2]Mapa final'!$Y$50="Muy Alta",'[2]Mapa final'!$AA$50="Catastrófico"),CONCATENATE("R7C",'[2]Mapa final'!$O$50),"")</f>
        <v/>
      </c>
      <c r="AK12" s="104" t="str">
        <f>IF(AND('[2]Mapa final'!$Y$51="Muy Alta",'[2]Mapa final'!$AA$51="Catastrófico"),CONCATENATE("R7C",'[2]Mapa final'!$O$51),"")</f>
        <v/>
      </c>
      <c r="AL12" s="104" t="str">
        <f>IF(AND('[2]Mapa final'!$Y$52="Muy Alta",'[2]Mapa final'!$AA$52="Catastrófico"),CONCATENATE("R7C",'[2]Mapa final'!$O$52),"")</f>
        <v/>
      </c>
      <c r="AM12" s="105" t="str">
        <f>IF(AND('[2]Mapa final'!$Y$53="Muy Alta",'[2]Mapa final'!$AA$53="Catastrófico"),CONCATENATE("R7C",'[2]Mapa final'!$O$53),"")</f>
        <v/>
      </c>
      <c r="AN12" s="92"/>
      <c r="AO12" s="434"/>
      <c r="AP12" s="435"/>
      <c r="AQ12" s="435"/>
      <c r="AR12" s="435"/>
      <c r="AS12" s="435"/>
      <c r="AT12" s="436"/>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row>
    <row r="13" spans="1:91" ht="15" customHeight="1">
      <c r="A13" s="92"/>
      <c r="B13" s="417"/>
      <c r="C13" s="417"/>
      <c r="D13" s="418"/>
      <c r="E13" s="422"/>
      <c r="F13" s="423"/>
      <c r="G13" s="423"/>
      <c r="H13" s="423"/>
      <c r="I13" s="424"/>
      <c r="J13" s="100" t="str">
        <f>IF(AND('[2]Mapa final'!$Y$54="Muy Alta",'[2]Mapa final'!$AA$54="Leve"),CONCATENATE("R8C",'[2]Mapa final'!$O$54),"")</f>
        <v/>
      </c>
      <c r="K13" s="101" t="str">
        <f>IF(AND('[2]Mapa final'!$Y$55="Muy Alta",'[2]Mapa final'!$AA$55="Leve"),CONCATENATE("R8C",'[2]Mapa final'!$O$55),"")</f>
        <v/>
      </c>
      <c r="L13" s="101" t="str">
        <f>IF(AND('[2]Mapa final'!$Y$56="Muy Alta",'[2]Mapa final'!$AA$56="Leve"),CONCATENATE("R8C",'[2]Mapa final'!$O$56),"")</f>
        <v/>
      </c>
      <c r="M13" s="101" t="str">
        <f>IF(AND('[2]Mapa final'!$Y$57="Muy Alta",'[2]Mapa final'!$AA$57="Leve"),CONCATENATE("R8C",'[2]Mapa final'!$O$57),"")</f>
        <v/>
      </c>
      <c r="N13" s="101" t="str">
        <f>IF(AND('[2]Mapa final'!$Y$58="Muy Alta",'[2]Mapa final'!$AA$58="Leve"),CONCATENATE("R8C",'[2]Mapa final'!$O$58),"")</f>
        <v/>
      </c>
      <c r="O13" s="102" t="str">
        <f>IF(AND('[2]Mapa final'!$Y$59="Muy Alta",'[2]Mapa final'!$AA$59="Leve"),CONCATENATE("R8C",'[2]Mapa final'!$O$59),"")</f>
        <v/>
      </c>
      <c r="P13" s="100" t="str">
        <f>IF(AND('[2]Mapa final'!$Y$54="Muy Alta",'[2]Mapa final'!$AA$54="Menor"),CONCATENATE("R8C",'[2]Mapa final'!$O$54),"")</f>
        <v/>
      </c>
      <c r="Q13" s="101" t="str">
        <f>IF(AND('[2]Mapa final'!$Y$55="Muy Alta",'[2]Mapa final'!$AA$55="Menor"),CONCATENATE("R8C",'[2]Mapa final'!$O$55),"")</f>
        <v/>
      </c>
      <c r="R13" s="101" t="str">
        <f>IF(AND('[2]Mapa final'!$Y$56="Muy Alta",'[2]Mapa final'!$AA$56="Menor"),CONCATENATE("R8C",'[2]Mapa final'!$O$56),"")</f>
        <v/>
      </c>
      <c r="S13" s="101" t="str">
        <f>IF(AND('[2]Mapa final'!$Y$57="Muy Alta",'[2]Mapa final'!$AA$57="Menor"),CONCATENATE("R8C",'[2]Mapa final'!$O$57),"")</f>
        <v/>
      </c>
      <c r="T13" s="101" t="str">
        <f>IF(AND('[2]Mapa final'!$Y$58="Muy Alta",'[2]Mapa final'!$AA$58="Menor"),CONCATENATE("R8C",'[2]Mapa final'!$O$58),"")</f>
        <v/>
      </c>
      <c r="U13" s="102" t="str">
        <f>IF(AND('[2]Mapa final'!$Y$59="Muy Alta",'[2]Mapa final'!$AA$59="Menor"),CONCATENATE("R8C",'[2]Mapa final'!$O$59),"")</f>
        <v/>
      </c>
      <c r="V13" s="100" t="str">
        <f>IF(AND('[2]Mapa final'!$Y$54="Muy Alta",'[2]Mapa final'!$AA$54="Moderado"),CONCATENATE("R8C",'[2]Mapa final'!$O$54),"")</f>
        <v/>
      </c>
      <c r="W13" s="101" t="str">
        <f>IF(AND('[2]Mapa final'!$Y$55="Muy Alta",'[2]Mapa final'!$AA$55="Moderado"),CONCATENATE("R8C",'[2]Mapa final'!$O$55),"")</f>
        <v/>
      </c>
      <c r="X13" s="101" t="str">
        <f>IF(AND('[2]Mapa final'!$Y$56="Muy Alta",'[2]Mapa final'!$AA$56="Moderado"),CONCATENATE("R8C",'[2]Mapa final'!$O$56),"")</f>
        <v/>
      </c>
      <c r="Y13" s="101" t="str">
        <f>IF(AND('[2]Mapa final'!$Y$57="Muy Alta",'[2]Mapa final'!$AA$57="Moderado"),CONCATENATE("R8C",'[2]Mapa final'!$O$57),"")</f>
        <v/>
      </c>
      <c r="Z13" s="101" t="str">
        <f>IF(AND('[2]Mapa final'!$Y$58="Muy Alta",'[2]Mapa final'!$AA$58="Moderado"),CONCATENATE("R8C",'[2]Mapa final'!$O$58),"")</f>
        <v/>
      </c>
      <c r="AA13" s="102" t="str">
        <f>IF(AND('[2]Mapa final'!$Y$59="Muy Alta",'[2]Mapa final'!$AA$59="Moderado"),CONCATENATE("R8C",'[2]Mapa final'!$O$59),"")</f>
        <v/>
      </c>
      <c r="AB13" s="100" t="str">
        <f>IF(AND('[2]Mapa final'!$Y$54="Muy Alta",'[2]Mapa final'!$AA$54="Mayor"),CONCATENATE("R8C",'[2]Mapa final'!$O$54),"")</f>
        <v/>
      </c>
      <c r="AC13" s="101" t="str">
        <f>IF(AND('[2]Mapa final'!$Y$55="Muy Alta",'[2]Mapa final'!$AA$55="Mayor"),CONCATENATE("R8C",'[2]Mapa final'!$O$55),"")</f>
        <v/>
      </c>
      <c r="AD13" s="101" t="str">
        <f>IF(AND('[2]Mapa final'!$Y$56="Muy Alta",'[2]Mapa final'!$AA$56="Mayor"),CONCATENATE("R8C",'[2]Mapa final'!$O$56),"")</f>
        <v/>
      </c>
      <c r="AE13" s="101" t="str">
        <f>IF(AND('[2]Mapa final'!$Y$57="Muy Alta",'[2]Mapa final'!$AA$57="Mayor"),CONCATENATE("R8C",'[2]Mapa final'!$O$57),"")</f>
        <v/>
      </c>
      <c r="AF13" s="101" t="str">
        <f>IF(AND('[2]Mapa final'!$Y$58="Muy Alta",'[2]Mapa final'!$AA$58="Mayor"),CONCATENATE("R8C",'[2]Mapa final'!$O$58),"")</f>
        <v/>
      </c>
      <c r="AG13" s="102" t="str">
        <f>IF(AND('[2]Mapa final'!$Y$59="Muy Alta",'[2]Mapa final'!$AA$59="Mayor"),CONCATENATE("R8C",'[2]Mapa final'!$O$59),"")</f>
        <v/>
      </c>
      <c r="AH13" s="103" t="str">
        <f>IF(AND('[2]Mapa final'!$Y$54="Muy Alta",'[2]Mapa final'!$AA$54="Catastrófico"),CONCATENATE("R8C",'[2]Mapa final'!$O$54),"")</f>
        <v/>
      </c>
      <c r="AI13" s="104" t="str">
        <f>IF(AND('[2]Mapa final'!$Y$55="Muy Alta",'[2]Mapa final'!$AA$55="Catastrófico"),CONCATENATE("R8C",'[2]Mapa final'!$O$55),"")</f>
        <v/>
      </c>
      <c r="AJ13" s="104" t="str">
        <f>IF(AND('[2]Mapa final'!$Y$56="Muy Alta",'[2]Mapa final'!$AA$56="Catastrófico"),CONCATENATE("R8C",'[2]Mapa final'!$O$56),"")</f>
        <v/>
      </c>
      <c r="AK13" s="104" t="str">
        <f>IF(AND('[2]Mapa final'!$Y$57="Muy Alta",'[2]Mapa final'!$AA$57="Catastrófico"),CONCATENATE("R8C",'[2]Mapa final'!$O$57),"")</f>
        <v/>
      </c>
      <c r="AL13" s="104" t="str">
        <f>IF(AND('[2]Mapa final'!$Y$58="Muy Alta",'[2]Mapa final'!$AA$58="Catastrófico"),CONCATENATE("R8C",'[2]Mapa final'!$O$58),"")</f>
        <v/>
      </c>
      <c r="AM13" s="105" t="str">
        <f>IF(AND('[2]Mapa final'!$Y$59="Muy Alta",'[2]Mapa final'!$AA$59="Catastrófico"),CONCATENATE("R8C",'[2]Mapa final'!$O$59),"")</f>
        <v/>
      </c>
      <c r="AN13" s="92"/>
      <c r="AO13" s="434"/>
      <c r="AP13" s="435"/>
      <c r="AQ13" s="435"/>
      <c r="AR13" s="435"/>
      <c r="AS13" s="435"/>
      <c r="AT13" s="436"/>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row>
    <row r="14" spans="1:91" ht="15" customHeight="1">
      <c r="A14" s="92"/>
      <c r="B14" s="417"/>
      <c r="C14" s="417"/>
      <c r="D14" s="418"/>
      <c r="E14" s="422"/>
      <c r="F14" s="423"/>
      <c r="G14" s="423"/>
      <c r="H14" s="423"/>
      <c r="I14" s="424"/>
      <c r="J14" s="100" t="str">
        <f>IF(AND('[2]Mapa final'!$Y$60="Muy Alta",'[2]Mapa final'!$AA$60="Leve"),CONCATENATE("R9C",'[2]Mapa final'!$O$60),"")</f>
        <v/>
      </c>
      <c r="K14" s="101" t="str">
        <f>IF(AND('[2]Mapa final'!$Y$61="Muy Alta",'[2]Mapa final'!$AA$61="Leve"),CONCATENATE("R9C",'[2]Mapa final'!$O$61),"")</f>
        <v/>
      </c>
      <c r="L14" s="101" t="str">
        <f>IF(AND('[2]Mapa final'!$Y$62="Muy Alta",'[2]Mapa final'!$AA$62="Leve"),CONCATENATE("R9C",'[2]Mapa final'!$O$62),"")</f>
        <v/>
      </c>
      <c r="M14" s="101" t="str">
        <f>IF(AND('[2]Mapa final'!$Y$63="Muy Alta",'[2]Mapa final'!$AA$63="Leve"),CONCATENATE("R9C",'[2]Mapa final'!$O$63),"")</f>
        <v/>
      </c>
      <c r="N14" s="101" t="str">
        <f>IF(AND('[2]Mapa final'!$Y$64="Muy Alta",'[2]Mapa final'!$AA$64="Leve"),CONCATENATE("R9C",'[2]Mapa final'!$O$64),"")</f>
        <v/>
      </c>
      <c r="O14" s="102" t="str">
        <f>IF(AND('[2]Mapa final'!$Y$65="Muy Alta",'[2]Mapa final'!$AA$65="Leve"),CONCATENATE("R9C",'[2]Mapa final'!$O$65),"")</f>
        <v/>
      </c>
      <c r="P14" s="100" t="str">
        <f>IF(AND('[2]Mapa final'!$Y$60="Muy Alta",'[2]Mapa final'!$AA$60="Menor"),CONCATENATE("R9C",'[2]Mapa final'!$O$60),"")</f>
        <v/>
      </c>
      <c r="Q14" s="101" t="str">
        <f>IF(AND('[2]Mapa final'!$Y$61="Muy Alta",'[2]Mapa final'!$AA$61="Menor"),CONCATENATE("R9C",'[2]Mapa final'!$O$61),"")</f>
        <v/>
      </c>
      <c r="R14" s="101" t="str">
        <f>IF(AND('[2]Mapa final'!$Y$62="Muy Alta",'[2]Mapa final'!$AA$62="Menor"),CONCATENATE("R9C",'[2]Mapa final'!$O$62),"")</f>
        <v/>
      </c>
      <c r="S14" s="101" t="str">
        <f>IF(AND('[2]Mapa final'!$Y$63="Muy Alta",'[2]Mapa final'!$AA$63="Menor"),CONCATENATE("R9C",'[2]Mapa final'!$O$63),"")</f>
        <v/>
      </c>
      <c r="T14" s="101" t="str">
        <f>IF(AND('[2]Mapa final'!$Y$64="Muy Alta",'[2]Mapa final'!$AA$64="Menor"),CONCATENATE("R9C",'[2]Mapa final'!$O$64),"")</f>
        <v/>
      </c>
      <c r="U14" s="102" t="str">
        <f>IF(AND('[2]Mapa final'!$Y$65="Muy Alta",'[2]Mapa final'!$AA$65="Menor"),CONCATENATE("R9C",'[2]Mapa final'!$O$65),"")</f>
        <v/>
      </c>
      <c r="V14" s="100" t="str">
        <f>IF(AND('[2]Mapa final'!$Y$60="Muy Alta",'[2]Mapa final'!$AA$60="Moderado"),CONCATENATE("R9C",'[2]Mapa final'!$O$60),"")</f>
        <v/>
      </c>
      <c r="W14" s="101" t="str">
        <f>IF(AND('[2]Mapa final'!$Y$61="Muy Alta",'[2]Mapa final'!$AA$61="Moderado"),CONCATENATE("R9C",'[2]Mapa final'!$O$61),"")</f>
        <v/>
      </c>
      <c r="X14" s="101" t="str">
        <f>IF(AND('[2]Mapa final'!$Y$62="Muy Alta",'[2]Mapa final'!$AA$62="Moderado"),CONCATENATE("R9C",'[2]Mapa final'!$O$62),"")</f>
        <v/>
      </c>
      <c r="Y14" s="101" t="str">
        <f>IF(AND('[2]Mapa final'!$Y$63="Muy Alta",'[2]Mapa final'!$AA$63="Moderado"),CONCATENATE("R9C",'[2]Mapa final'!$O$63),"")</f>
        <v/>
      </c>
      <c r="Z14" s="101" t="str">
        <f>IF(AND('[2]Mapa final'!$Y$64="Muy Alta",'[2]Mapa final'!$AA$64="Moderado"),CONCATENATE("R9C",'[2]Mapa final'!$O$64),"")</f>
        <v/>
      </c>
      <c r="AA14" s="102" t="str">
        <f>IF(AND('[2]Mapa final'!$Y$65="Muy Alta",'[2]Mapa final'!$AA$65="Moderado"),CONCATENATE("R9C",'[2]Mapa final'!$O$65),"")</f>
        <v/>
      </c>
      <c r="AB14" s="100" t="str">
        <f>IF(AND('[2]Mapa final'!$Y$60="Muy Alta",'[2]Mapa final'!$AA$60="Mayor"),CONCATENATE("R9C",'[2]Mapa final'!$O$60),"")</f>
        <v/>
      </c>
      <c r="AC14" s="101" t="str">
        <f>IF(AND('[2]Mapa final'!$Y$61="Muy Alta",'[2]Mapa final'!$AA$61="Mayor"),CONCATENATE("R9C",'[2]Mapa final'!$O$61),"")</f>
        <v/>
      </c>
      <c r="AD14" s="101" t="str">
        <f>IF(AND('[2]Mapa final'!$Y$62="Muy Alta",'[2]Mapa final'!$AA$62="Mayor"),CONCATENATE("R9C",'[2]Mapa final'!$O$62),"")</f>
        <v/>
      </c>
      <c r="AE14" s="101" t="str">
        <f>IF(AND('[2]Mapa final'!$Y$63="Muy Alta",'[2]Mapa final'!$AA$63="Mayor"),CONCATENATE("R9C",'[2]Mapa final'!$O$63),"")</f>
        <v/>
      </c>
      <c r="AF14" s="101" t="str">
        <f>IF(AND('[2]Mapa final'!$Y$64="Muy Alta",'[2]Mapa final'!$AA$64="Mayor"),CONCATENATE("R9C",'[2]Mapa final'!$O$64),"")</f>
        <v/>
      </c>
      <c r="AG14" s="102" t="str">
        <f>IF(AND('[2]Mapa final'!$Y$65="Muy Alta",'[2]Mapa final'!$AA$65="Mayor"),CONCATENATE("R9C",'[2]Mapa final'!$O$65),"")</f>
        <v/>
      </c>
      <c r="AH14" s="103" t="str">
        <f>IF(AND('[2]Mapa final'!$Y$60="Muy Alta",'[2]Mapa final'!$AA$60="Catastrófico"),CONCATENATE("R9C",'[2]Mapa final'!$O$60),"")</f>
        <v/>
      </c>
      <c r="AI14" s="104" t="str">
        <f>IF(AND('[2]Mapa final'!$Y$61="Muy Alta",'[2]Mapa final'!$AA$61="Catastrófico"),CONCATENATE("R9C",'[2]Mapa final'!$O$61),"")</f>
        <v/>
      </c>
      <c r="AJ14" s="104" t="str">
        <f>IF(AND('[2]Mapa final'!$Y$62="Muy Alta",'[2]Mapa final'!$AA$62="Catastrófico"),CONCATENATE("R9C",'[2]Mapa final'!$O$62),"")</f>
        <v/>
      </c>
      <c r="AK14" s="104" t="str">
        <f>IF(AND('[2]Mapa final'!$Y$63="Muy Alta",'[2]Mapa final'!$AA$63="Catastrófico"),CONCATENATE("R9C",'[2]Mapa final'!$O$63),"")</f>
        <v/>
      </c>
      <c r="AL14" s="104" t="str">
        <f>IF(AND('[2]Mapa final'!$Y$64="Muy Alta",'[2]Mapa final'!$AA$64="Catastrófico"),CONCATENATE("R9C",'[2]Mapa final'!$O$64),"")</f>
        <v/>
      </c>
      <c r="AM14" s="105" t="str">
        <f>IF(AND('[2]Mapa final'!$Y$65="Muy Alta",'[2]Mapa final'!$AA$65="Catastrófico"),CONCATENATE("R9C",'[2]Mapa final'!$O$65),"")</f>
        <v/>
      </c>
      <c r="AN14" s="92"/>
      <c r="AO14" s="434"/>
      <c r="AP14" s="435"/>
      <c r="AQ14" s="435"/>
      <c r="AR14" s="435"/>
      <c r="AS14" s="435"/>
      <c r="AT14" s="436"/>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row>
    <row r="15" spans="1:91" ht="15.75" customHeight="1" thickBot="1">
      <c r="A15" s="92"/>
      <c r="B15" s="417"/>
      <c r="C15" s="417"/>
      <c r="D15" s="418"/>
      <c r="E15" s="425"/>
      <c r="F15" s="426"/>
      <c r="G15" s="426"/>
      <c r="H15" s="426"/>
      <c r="I15" s="427"/>
      <c r="J15" s="106" t="str">
        <f>IF(AND('[2]Mapa final'!$Y$66="Muy Alta",'[2]Mapa final'!$AA$66="Leve"),CONCATENATE("R10C",'[2]Mapa final'!$O$66),"")</f>
        <v/>
      </c>
      <c r="K15" s="107" t="str">
        <f>IF(AND('[2]Mapa final'!$Y$67="Muy Alta",'[2]Mapa final'!$AA$67="Leve"),CONCATENATE("R10C",'[2]Mapa final'!$O$67),"")</f>
        <v/>
      </c>
      <c r="L15" s="107" t="str">
        <f>IF(AND('[2]Mapa final'!$Y$68="Muy Alta",'[2]Mapa final'!$AA$68="Leve"),CONCATENATE("R10C",'[2]Mapa final'!$O$68),"")</f>
        <v/>
      </c>
      <c r="M15" s="107" t="str">
        <f>IF(AND('[2]Mapa final'!$Y$69="Muy Alta",'[2]Mapa final'!$AA$69="Leve"),CONCATENATE("R10C",'[2]Mapa final'!$O$69),"")</f>
        <v/>
      </c>
      <c r="N15" s="107" t="str">
        <f>IF(AND('[2]Mapa final'!$Y$70="Muy Alta",'[2]Mapa final'!$AA$70="Leve"),CONCATENATE("R10C",'[2]Mapa final'!$O$70),"")</f>
        <v/>
      </c>
      <c r="O15" s="108" t="str">
        <f>IF(AND('[2]Mapa final'!$Y$71="Muy Alta",'[2]Mapa final'!$AA$71="Leve"),CONCATENATE("R10C",'[2]Mapa final'!$O$71),"")</f>
        <v/>
      </c>
      <c r="P15" s="100" t="str">
        <f>IF(AND('[2]Mapa final'!$Y$66="Muy Alta",'[2]Mapa final'!$AA$66="Menor"),CONCATENATE("R10C",'[2]Mapa final'!$O$66),"")</f>
        <v/>
      </c>
      <c r="Q15" s="101" t="str">
        <f>IF(AND('[2]Mapa final'!$Y$67="Muy Alta",'[2]Mapa final'!$AA$67="Menor"),CONCATENATE("R10C",'[2]Mapa final'!$O$67),"")</f>
        <v/>
      </c>
      <c r="R15" s="101" t="str">
        <f>IF(AND('[2]Mapa final'!$Y$68="Muy Alta",'[2]Mapa final'!$AA$68="Menor"),CONCATENATE("R10C",'[2]Mapa final'!$O$68),"")</f>
        <v/>
      </c>
      <c r="S15" s="101" t="str">
        <f>IF(AND('[2]Mapa final'!$Y$69="Muy Alta",'[2]Mapa final'!$AA$69="Menor"),CONCATENATE("R10C",'[2]Mapa final'!$O$69),"")</f>
        <v/>
      </c>
      <c r="T15" s="101" t="str">
        <f>IF(AND('[2]Mapa final'!$Y$70="Muy Alta",'[2]Mapa final'!$AA$70="Menor"),CONCATENATE("R10C",'[2]Mapa final'!$O$70),"")</f>
        <v/>
      </c>
      <c r="U15" s="102" t="str">
        <f>IF(AND('[2]Mapa final'!$Y$71="Muy Alta",'[2]Mapa final'!$AA$71="Menor"),CONCATENATE("R10C",'[2]Mapa final'!$O$71),"")</f>
        <v/>
      </c>
      <c r="V15" s="106" t="str">
        <f>IF(AND('[2]Mapa final'!$Y$66="Muy Alta",'[2]Mapa final'!$AA$66="Moderado"),CONCATENATE("R10C",'[2]Mapa final'!$O$66),"")</f>
        <v/>
      </c>
      <c r="W15" s="107" t="str">
        <f>IF(AND('[2]Mapa final'!$Y$67="Muy Alta",'[2]Mapa final'!$AA$67="Moderado"),CONCATENATE("R10C",'[2]Mapa final'!$O$67),"")</f>
        <v/>
      </c>
      <c r="X15" s="107" t="str">
        <f>IF(AND('[2]Mapa final'!$Y$68="Muy Alta",'[2]Mapa final'!$AA$68="Moderado"),CONCATENATE("R10C",'[2]Mapa final'!$O$68),"")</f>
        <v/>
      </c>
      <c r="Y15" s="107" t="str">
        <f>IF(AND('[2]Mapa final'!$Y$69="Muy Alta",'[2]Mapa final'!$AA$69="Moderado"),CONCATENATE("R10C",'[2]Mapa final'!$O$69),"")</f>
        <v/>
      </c>
      <c r="Z15" s="107" t="str">
        <f>IF(AND('[2]Mapa final'!$Y$70="Muy Alta",'[2]Mapa final'!$AA$70="Moderado"),CONCATENATE("R10C",'[2]Mapa final'!$O$70),"")</f>
        <v/>
      </c>
      <c r="AA15" s="108" t="str">
        <f>IF(AND('[2]Mapa final'!$Y$71="Muy Alta",'[2]Mapa final'!$AA$71="Moderado"),CONCATENATE("R10C",'[2]Mapa final'!$O$71),"")</f>
        <v/>
      </c>
      <c r="AB15" s="100" t="str">
        <f>IF(AND('[2]Mapa final'!$Y$66="Muy Alta",'[2]Mapa final'!$AA$66="Mayor"),CONCATENATE("R10C",'[2]Mapa final'!$O$66),"")</f>
        <v/>
      </c>
      <c r="AC15" s="101" t="str">
        <f>IF(AND('[2]Mapa final'!$Y$67="Muy Alta",'[2]Mapa final'!$AA$67="Mayor"),CONCATENATE("R10C",'[2]Mapa final'!$O$67),"")</f>
        <v/>
      </c>
      <c r="AD15" s="101" t="str">
        <f>IF(AND('[2]Mapa final'!$Y$68="Muy Alta",'[2]Mapa final'!$AA$68="Mayor"),CONCATENATE("R10C",'[2]Mapa final'!$O$68),"")</f>
        <v/>
      </c>
      <c r="AE15" s="101" t="str">
        <f>IF(AND('[2]Mapa final'!$Y$69="Muy Alta",'[2]Mapa final'!$AA$69="Mayor"),CONCATENATE("R10C",'[2]Mapa final'!$O$69),"")</f>
        <v/>
      </c>
      <c r="AF15" s="101" t="str">
        <f>IF(AND('[2]Mapa final'!$Y$70="Muy Alta",'[2]Mapa final'!$AA$70="Mayor"),CONCATENATE("R10C",'[2]Mapa final'!$O$70),"")</f>
        <v/>
      </c>
      <c r="AG15" s="102" t="str">
        <f>IF(AND('[2]Mapa final'!$Y$71="Muy Alta",'[2]Mapa final'!$AA$71="Mayor"),CONCATENATE("R10C",'[2]Mapa final'!$O$71),"")</f>
        <v/>
      </c>
      <c r="AH15" s="109" t="str">
        <f>IF(AND('[2]Mapa final'!$Y$66="Muy Alta",'[2]Mapa final'!$AA$66="Catastrófico"),CONCATENATE("R10C",'[2]Mapa final'!$O$66),"")</f>
        <v/>
      </c>
      <c r="AI15" s="110" t="str">
        <f>IF(AND('[2]Mapa final'!$Y$67="Muy Alta",'[2]Mapa final'!$AA$67="Catastrófico"),CONCATENATE("R10C",'[2]Mapa final'!$O$67),"")</f>
        <v/>
      </c>
      <c r="AJ15" s="110" t="str">
        <f>IF(AND('[2]Mapa final'!$Y$68="Muy Alta",'[2]Mapa final'!$AA$68="Catastrófico"),CONCATENATE("R10C",'[2]Mapa final'!$O$68),"")</f>
        <v/>
      </c>
      <c r="AK15" s="110" t="str">
        <f>IF(AND('[2]Mapa final'!$Y$69="Muy Alta",'[2]Mapa final'!$AA$69="Catastrófico"),CONCATENATE("R10C",'[2]Mapa final'!$O$69),"")</f>
        <v/>
      </c>
      <c r="AL15" s="110" t="str">
        <f>IF(AND('[2]Mapa final'!$Y$70="Muy Alta",'[2]Mapa final'!$AA$70="Catastrófico"),CONCATENATE("R10C",'[2]Mapa final'!$O$70),"")</f>
        <v/>
      </c>
      <c r="AM15" s="111" t="str">
        <f>IF(AND('[2]Mapa final'!$Y$71="Muy Alta",'[2]Mapa final'!$AA$71="Catastrófico"),CONCATENATE("R10C",'[2]Mapa final'!$O$71),"")</f>
        <v/>
      </c>
      <c r="AN15" s="92"/>
      <c r="AO15" s="437"/>
      <c r="AP15" s="438"/>
      <c r="AQ15" s="438"/>
      <c r="AR15" s="438"/>
      <c r="AS15" s="438"/>
      <c r="AT15" s="439"/>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row>
    <row r="16" spans="1:91" ht="15" customHeight="1">
      <c r="A16" s="92"/>
      <c r="B16" s="417"/>
      <c r="C16" s="417"/>
      <c r="D16" s="418"/>
      <c r="E16" s="419" t="s">
        <v>521</v>
      </c>
      <c r="F16" s="420"/>
      <c r="G16" s="420"/>
      <c r="H16" s="420"/>
      <c r="I16" s="420"/>
      <c r="J16" s="112" t="str">
        <f>IF(AND('[2]Mapa final'!$Y$12="Alta",'[2]Mapa final'!$AA$12="Leve"),CONCATENATE("R1C",'[2]Mapa final'!$O$12),"")</f>
        <v/>
      </c>
      <c r="K16" s="113" t="str">
        <f>IF(AND('[2]Mapa final'!$Y$13="Alta",'[2]Mapa final'!$AA$13="Leve"),CONCATENATE("R1C",'[2]Mapa final'!$O$13),"")</f>
        <v/>
      </c>
      <c r="L16" s="113" t="str">
        <f>IF(AND('[2]Mapa final'!$Y$14="Alta",'[2]Mapa final'!$AA$14="Leve"),CONCATENATE("R1C",'[2]Mapa final'!$O$14),"")</f>
        <v/>
      </c>
      <c r="M16" s="113" t="str">
        <f>IF(AND('[2]Mapa final'!$Y$15="Alta",'[2]Mapa final'!$AA$15="Leve"),CONCATENATE("R1C",'[2]Mapa final'!$O$15),"")</f>
        <v/>
      </c>
      <c r="N16" s="113" t="str">
        <f>IF(AND('[2]Mapa final'!$Y$16="Alta",'[2]Mapa final'!$AA$16="Leve"),CONCATENATE("R1C",'[2]Mapa final'!$O$16),"")</f>
        <v/>
      </c>
      <c r="O16" s="114" t="str">
        <f>IF(AND('[2]Mapa final'!$Y$17="Alta",'[2]Mapa final'!$AA$17="Leve"),CONCATENATE("R1C",'[2]Mapa final'!$O$17),"")</f>
        <v/>
      </c>
      <c r="P16" s="112" t="str">
        <f>IF(AND('[2]Mapa final'!$Y$12="Alta",'[2]Mapa final'!$AA$12="Menor"),CONCATENATE("R1C",'[2]Mapa final'!$O$12),"")</f>
        <v/>
      </c>
      <c r="Q16" s="113" t="str">
        <f>IF(AND('[2]Mapa final'!$Y$13="Alta",'[2]Mapa final'!$AA$13="Menor"),CONCATENATE("R1C",'[2]Mapa final'!$O$13),"")</f>
        <v/>
      </c>
      <c r="R16" s="113" t="str">
        <f>IF(AND('[2]Mapa final'!$Y$14="Alta",'[2]Mapa final'!$AA$14="Menor"),CONCATENATE("R1C",'[2]Mapa final'!$O$14),"")</f>
        <v/>
      </c>
      <c r="S16" s="113" t="str">
        <f>IF(AND('[2]Mapa final'!$Y$15="Alta",'[2]Mapa final'!$AA$15="Menor"),CONCATENATE("R1C",'[2]Mapa final'!$O$15),"")</f>
        <v/>
      </c>
      <c r="T16" s="113" t="str">
        <f>IF(AND('[2]Mapa final'!$Y$16="Alta",'[2]Mapa final'!$AA$16="Menor"),CONCATENATE("R1C",'[2]Mapa final'!$O$16),"")</f>
        <v/>
      </c>
      <c r="U16" s="114" t="str">
        <f>IF(AND('[2]Mapa final'!$Y$17="Alta",'[2]Mapa final'!$AA$17="Menor"),CONCATENATE("R1C",'[2]Mapa final'!$O$17),"")</f>
        <v/>
      </c>
      <c r="V16" s="94" t="str">
        <f>IF(AND('[2]Mapa final'!$Y$12="Alta",'[2]Mapa final'!$AA$12="Moderado"),CONCATENATE("R1C",'[2]Mapa final'!$O$12),"")</f>
        <v/>
      </c>
      <c r="W16" s="95" t="str">
        <f>IF(AND('[2]Mapa final'!$Y$13="Alta",'[2]Mapa final'!$AA$13="Moderado"),CONCATENATE("R1C",'[2]Mapa final'!$O$13),"")</f>
        <v/>
      </c>
      <c r="X16" s="95" t="str">
        <f>IF(AND('[2]Mapa final'!$Y$14="Alta",'[2]Mapa final'!$AA$14="Moderado"),CONCATENATE("R1C",'[2]Mapa final'!$O$14),"")</f>
        <v/>
      </c>
      <c r="Y16" s="95" t="str">
        <f>IF(AND('[2]Mapa final'!$Y$15="Alta",'[2]Mapa final'!$AA$15="Moderado"),CONCATENATE("R1C",'[2]Mapa final'!$O$15),"")</f>
        <v/>
      </c>
      <c r="Z16" s="95" t="str">
        <f>IF(AND('[2]Mapa final'!$Y$16="Alta",'[2]Mapa final'!$AA$16="Moderado"),CONCATENATE("R1C",'[2]Mapa final'!$O$16),"")</f>
        <v/>
      </c>
      <c r="AA16" s="96" t="str">
        <f>IF(AND('[2]Mapa final'!$Y$17="Alta",'[2]Mapa final'!$AA$17="Moderado"),CONCATENATE("R1C",'[2]Mapa final'!$O$17),"")</f>
        <v/>
      </c>
      <c r="AB16" s="94" t="str">
        <f>IF(AND('[2]Mapa final'!$Y$12="Alta",'[2]Mapa final'!$AA$12="Mayor"),CONCATENATE("R1C",'[2]Mapa final'!$O$12),"")</f>
        <v/>
      </c>
      <c r="AC16" s="95" t="str">
        <f>IF(AND('[2]Mapa final'!$Y$13="Alta",'[2]Mapa final'!$AA$13="Mayor"),CONCATENATE("R1C",'[2]Mapa final'!$O$13),"")</f>
        <v/>
      </c>
      <c r="AD16" s="95" t="str">
        <f>IF(AND('[2]Mapa final'!$Y$14="Alta",'[2]Mapa final'!$AA$14="Mayor"),CONCATENATE("R1C",'[2]Mapa final'!$O$14),"")</f>
        <v/>
      </c>
      <c r="AE16" s="95" t="str">
        <f>IF(AND('[2]Mapa final'!$Y$15="Alta",'[2]Mapa final'!$AA$15="Mayor"),CONCATENATE("R1C",'[2]Mapa final'!$O$15),"")</f>
        <v/>
      </c>
      <c r="AF16" s="95" t="str">
        <f>IF(AND('[2]Mapa final'!$Y$16="Alta",'[2]Mapa final'!$AA$16="Mayor"),CONCATENATE("R1C",'[2]Mapa final'!$O$16),"")</f>
        <v/>
      </c>
      <c r="AG16" s="96" t="str">
        <f>IF(AND('[2]Mapa final'!$Y$17="Alta",'[2]Mapa final'!$AA$17="Mayor"),CONCATENATE("R1C",'[2]Mapa final'!$O$17),"")</f>
        <v/>
      </c>
      <c r="AH16" s="97" t="str">
        <f>IF(AND('[2]Mapa final'!$Y$12="Alta",'[2]Mapa final'!$AA$12="Catastrófico"),CONCATENATE("R1C",'[2]Mapa final'!$O$12),"")</f>
        <v/>
      </c>
      <c r="AI16" s="98" t="str">
        <f>IF(AND('[2]Mapa final'!$Y$13="Alta",'[2]Mapa final'!$AA$13="Catastrófico"),CONCATENATE("R1C",'[2]Mapa final'!$O$13),"")</f>
        <v/>
      </c>
      <c r="AJ16" s="98" t="str">
        <f>IF(AND('[2]Mapa final'!$Y$14="Alta",'[2]Mapa final'!$AA$14="Catastrófico"),CONCATENATE("R1C",'[2]Mapa final'!$O$14),"")</f>
        <v/>
      </c>
      <c r="AK16" s="98" t="str">
        <f>IF(AND('[2]Mapa final'!$Y$15="Alta",'[2]Mapa final'!$AA$15="Catastrófico"),CONCATENATE("R1C",'[2]Mapa final'!$O$15),"")</f>
        <v/>
      </c>
      <c r="AL16" s="98" t="str">
        <f>IF(AND('[2]Mapa final'!$Y$16="Alta",'[2]Mapa final'!$AA$16="Catastrófico"),CONCATENATE("R1C",'[2]Mapa final'!$O$16),"")</f>
        <v/>
      </c>
      <c r="AM16" s="99" t="str">
        <f>IF(AND('[2]Mapa final'!$Y$17="Alta",'[2]Mapa final'!$AA$17="Catastrófico"),CONCATENATE("R1C",'[2]Mapa final'!$O$17),"")</f>
        <v/>
      </c>
      <c r="AN16" s="92"/>
      <c r="AO16" s="441" t="s">
        <v>522</v>
      </c>
      <c r="AP16" s="442"/>
      <c r="AQ16" s="442"/>
      <c r="AR16" s="442"/>
      <c r="AS16" s="442"/>
      <c r="AT16" s="443"/>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row>
    <row r="17" spans="1:76" ht="15" customHeight="1">
      <c r="A17" s="92"/>
      <c r="B17" s="417"/>
      <c r="C17" s="417"/>
      <c r="D17" s="418"/>
      <c r="E17" s="440"/>
      <c r="F17" s="423"/>
      <c r="G17" s="423"/>
      <c r="H17" s="423"/>
      <c r="I17" s="423"/>
      <c r="J17" s="115" t="str">
        <f>IF(AND('[2]Mapa final'!$Y$18="Alta",'[2]Mapa final'!$AA$18="Leve"),CONCATENATE("R2C",'[2]Mapa final'!$O$18),"")</f>
        <v/>
      </c>
      <c r="K17" s="116" t="str">
        <f>IF(AND('[2]Mapa final'!$Y$19="Alta",'[2]Mapa final'!$AA$19="Leve"),CONCATENATE("R2C",'[2]Mapa final'!$O$19),"")</f>
        <v/>
      </c>
      <c r="L17" s="116" t="str">
        <f>IF(AND('[2]Mapa final'!$Y$20="Alta",'[2]Mapa final'!$AA$20="Leve"),CONCATENATE("R2C",'[2]Mapa final'!$O$20),"")</f>
        <v/>
      </c>
      <c r="M17" s="116" t="str">
        <f>IF(AND('[2]Mapa final'!$Y$21="Alta",'[2]Mapa final'!$AA$21="Leve"),CONCATENATE("R2C",'[2]Mapa final'!$O$21),"")</f>
        <v/>
      </c>
      <c r="N17" s="116" t="str">
        <f>IF(AND('[2]Mapa final'!$Y$22="Alta",'[2]Mapa final'!$AA$22="Leve"),CONCATENATE("R2C",'[2]Mapa final'!$O$22),"")</f>
        <v/>
      </c>
      <c r="O17" s="117" t="str">
        <f>IF(AND('[2]Mapa final'!$Y$23="Alta",'[2]Mapa final'!$AA$23="Leve"),CONCATENATE("R2C",'[2]Mapa final'!$O$23),"")</f>
        <v/>
      </c>
      <c r="P17" s="115" t="str">
        <f>IF(AND('[2]Mapa final'!$Y$18="Alta",'[2]Mapa final'!$AA$18="Menor"),CONCATENATE("R2C",'[2]Mapa final'!$O$18),"")</f>
        <v/>
      </c>
      <c r="Q17" s="116" t="str">
        <f>IF(AND('[2]Mapa final'!$Y$19="Alta",'[2]Mapa final'!$AA$19="Menor"),CONCATENATE("R2C",'[2]Mapa final'!$O$19),"")</f>
        <v/>
      </c>
      <c r="R17" s="116" t="str">
        <f>IF(AND('[2]Mapa final'!$Y$20="Alta",'[2]Mapa final'!$AA$20="Menor"),CONCATENATE("R2C",'[2]Mapa final'!$O$20),"")</f>
        <v/>
      </c>
      <c r="S17" s="116" t="str">
        <f>IF(AND('[2]Mapa final'!$Y$21="Alta",'[2]Mapa final'!$AA$21="Menor"),CONCATENATE("R2C",'[2]Mapa final'!$O$21),"")</f>
        <v/>
      </c>
      <c r="T17" s="116" t="str">
        <f>IF(AND('[2]Mapa final'!$Y$22="Alta",'[2]Mapa final'!$AA$22="Menor"),CONCATENATE("R2C",'[2]Mapa final'!$O$22),"")</f>
        <v/>
      </c>
      <c r="U17" s="117" t="str">
        <f>IF(AND('[2]Mapa final'!$Y$23="Alta",'[2]Mapa final'!$AA$23="Menor"),CONCATENATE("R2C",'[2]Mapa final'!$O$23),"")</f>
        <v/>
      </c>
      <c r="V17" s="100" t="str">
        <f>IF(AND('[2]Mapa final'!$Y$18="Alta",'[2]Mapa final'!$AA$18="Moderado"),CONCATENATE("R2C",'[2]Mapa final'!$O$18),"")</f>
        <v/>
      </c>
      <c r="W17" s="101" t="str">
        <f>IF(AND('[2]Mapa final'!$Y$19="Alta",'[2]Mapa final'!$AA$19="Moderado"),CONCATENATE("R2C",'[2]Mapa final'!$O$19),"")</f>
        <v/>
      </c>
      <c r="X17" s="101" t="str">
        <f>IF(AND('[2]Mapa final'!$Y$20="Alta",'[2]Mapa final'!$AA$20="Moderado"),CONCATENATE("R2C",'[2]Mapa final'!$O$20),"")</f>
        <v/>
      </c>
      <c r="Y17" s="101" t="str">
        <f>IF(AND('[2]Mapa final'!$Y$21="Alta",'[2]Mapa final'!$AA$21="Moderado"),CONCATENATE("R2C",'[2]Mapa final'!$O$21),"")</f>
        <v/>
      </c>
      <c r="Z17" s="101" t="str">
        <f>IF(AND('[2]Mapa final'!$Y$22="Alta",'[2]Mapa final'!$AA$22="Moderado"),CONCATENATE("R2C",'[2]Mapa final'!$O$22),"")</f>
        <v/>
      </c>
      <c r="AA17" s="102" t="str">
        <f>IF(AND('[2]Mapa final'!$Y$23="Alta",'[2]Mapa final'!$AA$23="Moderado"),CONCATENATE("R2C",'[2]Mapa final'!$O$23),"")</f>
        <v/>
      </c>
      <c r="AB17" s="100" t="str">
        <f>IF(AND('[2]Mapa final'!$Y$18="Alta",'[2]Mapa final'!$AA$18="Mayor"),CONCATENATE("R2C",'[2]Mapa final'!$O$18),"")</f>
        <v/>
      </c>
      <c r="AC17" s="101" t="str">
        <f>IF(AND('[2]Mapa final'!$Y$19="Alta",'[2]Mapa final'!$AA$19="Mayor"),CONCATENATE("R2C",'[2]Mapa final'!$O$19),"")</f>
        <v/>
      </c>
      <c r="AD17" s="101" t="str">
        <f>IF(AND('[2]Mapa final'!$Y$20="Alta",'[2]Mapa final'!$AA$20="Mayor"),CONCATENATE("R2C",'[2]Mapa final'!$O$20),"")</f>
        <v/>
      </c>
      <c r="AE17" s="101" t="str">
        <f>IF(AND('[2]Mapa final'!$Y$21="Alta",'[2]Mapa final'!$AA$21="Mayor"),CONCATENATE("R2C",'[2]Mapa final'!$O$21),"")</f>
        <v/>
      </c>
      <c r="AF17" s="101" t="str">
        <f>IF(AND('[2]Mapa final'!$Y$22="Alta",'[2]Mapa final'!$AA$22="Mayor"),CONCATENATE("R2C",'[2]Mapa final'!$O$22),"")</f>
        <v/>
      </c>
      <c r="AG17" s="102" t="str">
        <f>IF(AND('[2]Mapa final'!$Y$23="Alta",'[2]Mapa final'!$AA$23="Mayor"),CONCATENATE("R2C",'[2]Mapa final'!$O$23),"")</f>
        <v/>
      </c>
      <c r="AH17" s="103" t="str">
        <f>IF(AND('[2]Mapa final'!$Y$18="Alta",'[2]Mapa final'!$AA$18="Catastrófico"),CONCATENATE("R2C",'[2]Mapa final'!$O$18),"")</f>
        <v/>
      </c>
      <c r="AI17" s="104" t="str">
        <f>IF(AND('[2]Mapa final'!$Y$19="Alta",'[2]Mapa final'!$AA$19="Catastrófico"),CONCATENATE("R2C",'[2]Mapa final'!$O$19),"")</f>
        <v/>
      </c>
      <c r="AJ17" s="104" t="str">
        <f>IF(AND('[2]Mapa final'!$Y$20="Alta",'[2]Mapa final'!$AA$20="Catastrófico"),CONCATENATE("R2C",'[2]Mapa final'!$O$20),"")</f>
        <v/>
      </c>
      <c r="AK17" s="104" t="str">
        <f>IF(AND('[2]Mapa final'!$Y$21="Alta",'[2]Mapa final'!$AA$21="Catastrófico"),CONCATENATE("R2C",'[2]Mapa final'!$O$21),"")</f>
        <v/>
      </c>
      <c r="AL17" s="104" t="str">
        <f>IF(AND('[2]Mapa final'!$Y$22="Alta",'[2]Mapa final'!$AA$22="Catastrófico"),CONCATENATE("R2C",'[2]Mapa final'!$O$22),"")</f>
        <v/>
      </c>
      <c r="AM17" s="105" t="str">
        <f>IF(AND('[2]Mapa final'!$Y$23="Alta",'[2]Mapa final'!$AA$23="Catastrófico"),CONCATENATE("R2C",'[2]Mapa final'!$O$23),"")</f>
        <v/>
      </c>
      <c r="AN17" s="92"/>
      <c r="AO17" s="444"/>
      <c r="AP17" s="445"/>
      <c r="AQ17" s="445"/>
      <c r="AR17" s="445"/>
      <c r="AS17" s="445"/>
      <c r="AT17" s="446"/>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row>
    <row r="18" spans="1:76" ht="15" customHeight="1">
      <c r="A18" s="92"/>
      <c r="B18" s="417"/>
      <c r="C18" s="417"/>
      <c r="D18" s="418"/>
      <c r="E18" s="422"/>
      <c r="F18" s="423"/>
      <c r="G18" s="423"/>
      <c r="H18" s="423"/>
      <c r="I18" s="423"/>
      <c r="J18" s="115" t="str">
        <f>IF(AND('[2]Mapa final'!$Y$24="Alta",'[2]Mapa final'!$AA$24="Leve"),CONCATENATE("R3C",'[2]Mapa final'!$O$24),"")</f>
        <v/>
      </c>
      <c r="K18" s="116" t="str">
        <f>IF(AND('[2]Mapa final'!$Y$25="Alta",'[2]Mapa final'!$AA$25="Leve"),CONCATENATE("R3C",'[2]Mapa final'!$O$25),"")</f>
        <v/>
      </c>
      <c r="L18" s="116" t="str">
        <f>IF(AND('[2]Mapa final'!$Y$26="Alta",'[2]Mapa final'!$AA$26="Leve"),CONCATENATE("R3C",'[2]Mapa final'!$O$26),"")</f>
        <v/>
      </c>
      <c r="M18" s="116" t="str">
        <f>IF(AND('[2]Mapa final'!$Y$27="Alta",'[2]Mapa final'!$AA$27="Leve"),CONCATENATE("R3C",'[2]Mapa final'!$O$27),"")</f>
        <v/>
      </c>
      <c r="N18" s="116" t="str">
        <f>IF(AND('[2]Mapa final'!$Y$28="Alta",'[2]Mapa final'!$AA$28="Leve"),CONCATENATE("R3C",'[2]Mapa final'!$O$28),"")</f>
        <v/>
      </c>
      <c r="O18" s="117" t="str">
        <f>IF(AND('[2]Mapa final'!$Y$29="Alta",'[2]Mapa final'!$AA$29="Leve"),CONCATENATE("R3C",'[2]Mapa final'!$O$29),"")</f>
        <v/>
      </c>
      <c r="P18" s="115" t="str">
        <f>IF(AND('[2]Mapa final'!$Y$24="Alta",'[2]Mapa final'!$AA$24="Menor"),CONCATENATE("R3C",'[2]Mapa final'!$O$24),"")</f>
        <v/>
      </c>
      <c r="Q18" s="116" t="str">
        <f>IF(AND('[2]Mapa final'!$Y$25="Alta",'[2]Mapa final'!$AA$25="Menor"),CONCATENATE("R3C",'[2]Mapa final'!$O$25),"")</f>
        <v/>
      </c>
      <c r="R18" s="116" t="str">
        <f>IF(AND('[2]Mapa final'!$Y$26="Alta",'[2]Mapa final'!$AA$26="Menor"),CONCATENATE("R3C",'[2]Mapa final'!$O$26),"")</f>
        <v/>
      </c>
      <c r="S18" s="116" t="str">
        <f>IF(AND('[2]Mapa final'!$Y$27="Alta",'[2]Mapa final'!$AA$27="Menor"),CONCATENATE("R3C",'[2]Mapa final'!$O$27),"")</f>
        <v/>
      </c>
      <c r="T18" s="116" t="str">
        <f>IF(AND('[2]Mapa final'!$Y$28="Alta",'[2]Mapa final'!$AA$28="Menor"),CONCATENATE("R3C",'[2]Mapa final'!$O$28),"")</f>
        <v/>
      </c>
      <c r="U18" s="117" t="str">
        <f>IF(AND('[2]Mapa final'!$Y$29="Alta",'[2]Mapa final'!$AA$29="Menor"),CONCATENATE("R3C",'[2]Mapa final'!$O$29),"")</f>
        <v/>
      </c>
      <c r="V18" s="100" t="str">
        <f>IF(AND('[2]Mapa final'!$Y$24="Alta",'[2]Mapa final'!$AA$24="Moderado"),CONCATENATE("R3C",'[2]Mapa final'!$O$24),"")</f>
        <v/>
      </c>
      <c r="W18" s="101" t="str">
        <f>IF(AND('[2]Mapa final'!$Y$25="Alta",'[2]Mapa final'!$AA$25="Moderado"),CONCATENATE("R3C",'[2]Mapa final'!$O$25),"")</f>
        <v/>
      </c>
      <c r="X18" s="101" t="str">
        <f>IF(AND('[2]Mapa final'!$Y$26="Alta",'[2]Mapa final'!$AA$26="Moderado"),CONCATENATE("R3C",'[2]Mapa final'!$O$26),"")</f>
        <v/>
      </c>
      <c r="Y18" s="101" t="str">
        <f>IF(AND('[2]Mapa final'!$Y$27="Alta",'[2]Mapa final'!$AA$27="Moderado"),CONCATENATE("R3C",'[2]Mapa final'!$O$27),"")</f>
        <v/>
      </c>
      <c r="Z18" s="101" t="str">
        <f>IF(AND('[2]Mapa final'!$Y$28="Alta",'[2]Mapa final'!$AA$28="Moderado"),CONCATENATE("R3C",'[2]Mapa final'!$O$28),"")</f>
        <v/>
      </c>
      <c r="AA18" s="102" t="str">
        <f>IF(AND('[2]Mapa final'!$Y$29="Alta",'[2]Mapa final'!$AA$29="Moderado"),CONCATENATE("R3C",'[2]Mapa final'!$O$29),"")</f>
        <v/>
      </c>
      <c r="AB18" s="100" t="str">
        <f>IF(AND('[2]Mapa final'!$Y$24="Alta",'[2]Mapa final'!$AA$24="Mayor"),CONCATENATE("R3C",'[2]Mapa final'!$O$24),"")</f>
        <v/>
      </c>
      <c r="AC18" s="101" t="str">
        <f>IF(AND('[2]Mapa final'!$Y$25="Alta",'[2]Mapa final'!$AA$25="Mayor"),CONCATENATE("R3C",'[2]Mapa final'!$O$25),"")</f>
        <v/>
      </c>
      <c r="AD18" s="101" t="str">
        <f>IF(AND('[2]Mapa final'!$Y$26="Alta",'[2]Mapa final'!$AA$26="Mayor"),CONCATENATE("R3C",'[2]Mapa final'!$O$26),"")</f>
        <v/>
      </c>
      <c r="AE18" s="101" t="str">
        <f>IF(AND('[2]Mapa final'!$Y$27="Alta",'[2]Mapa final'!$AA$27="Mayor"),CONCATENATE("R3C",'[2]Mapa final'!$O$27),"")</f>
        <v/>
      </c>
      <c r="AF18" s="101" t="str">
        <f>IF(AND('[2]Mapa final'!$Y$28="Alta",'[2]Mapa final'!$AA$28="Mayor"),CONCATENATE("R3C",'[2]Mapa final'!$O$28),"")</f>
        <v/>
      </c>
      <c r="AG18" s="102" t="str">
        <f>IF(AND('[2]Mapa final'!$Y$29="Alta",'[2]Mapa final'!$AA$29="Mayor"),CONCATENATE("R3C",'[2]Mapa final'!$O$29),"")</f>
        <v/>
      </c>
      <c r="AH18" s="103" t="str">
        <f>IF(AND('[2]Mapa final'!$Y$24="Alta",'[2]Mapa final'!$AA$24="Catastrófico"),CONCATENATE("R3C",'[2]Mapa final'!$O$24),"")</f>
        <v/>
      </c>
      <c r="AI18" s="104" t="str">
        <f>IF(AND('[2]Mapa final'!$Y$25="Alta",'[2]Mapa final'!$AA$25="Catastrófico"),CONCATENATE("R3C",'[2]Mapa final'!$O$25),"")</f>
        <v/>
      </c>
      <c r="AJ18" s="104" t="str">
        <f>IF(AND('[2]Mapa final'!$Y$26="Alta",'[2]Mapa final'!$AA$26="Catastrófico"),CONCATENATE("R3C",'[2]Mapa final'!$O$26),"")</f>
        <v/>
      </c>
      <c r="AK18" s="104" t="str">
        <f>IF(AND('[2]Mapa final'!$Y$27="Alta",'[2]Mapa final'!$AA$27="Catastrófico"),CONCATENATE("R3C",'[2]Mapa final'!$O$27),"")</f>
        <v/>
      </c>
      <c r="AL18" s="104" t="str">
        <f>IF(AND('[2]Mapa final'!$Y$28="Alta",'[2]Mapa final'!$AA$28="Catastrófico"),CONCATENATE("R3C",'[2]Mapa final'!$O$28),"")</f>
        <v/>
      </c>
      <c r="AM18" s="105" t="str">
        <f>IF(AND('[2]Mapa final'!$Y$29="Alta",'[2]Mapa final'!$AA$29="Catastrófico"),CONCATENATE("R3C",'[2]Mapa final'!$O$29),"")</f>
        <v/>
      </c>
      <c r="AN18" s="92"/>
      <c r="AO18" s="444"/>
      <c r="AP18" s="445"/>
      <c r="AQ18" s="445"/>
      <c r="AR18" s="445"/>
      <c r="AS18" s="445"/>
      <c r="AT18" s="446"/>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row>
    <row r="19" spans="1:76" ht="15" customHeight="1">
      <c r="A19" s="92"/>
      <c r="B19" s="417"/>
      <c r="C19" s="417"/>
      <c r="D19" s="418"/>
      <c r="E19" s="422"/>
      <c r="F19" s="423"/>
      <c r="G19" s="423"/>
      <c r="H19" s="423"/>
      <c r="I19" s="423"/>
      <c r="J19" s="115" t="e">
        <f>IF(AND('[2]Mapa final'!$Y$30="Alta",'[2]Mapa final'!$AA$30="Leve"),CONCATENATE("R4C",'[2]Mapa final'!$O$30),"")</f>
        <v>#REF!</v>
      </c>
      <c r="K19" s="116" t="str">
        <f>IF(AND('[2]Mapa final'!$Y$31="Alta",'[2]Mapa final'!$AA$31="Leve"),CONCATENATE("R4C",'[2]Mapa final'!$O$31),"")</f>
        <v/>
      </c>
      <c r="L19" s="116" t="str">
        <f>IF(AND('[2]Mapa final'!$Y$32="Alta",'[2]Mapa final'!$AA$32="Leve"),CONCATENATE("R4C",'[2]Mapa final'!$O$32),"")</f>
        <v/>
      </c>
      <c r="M19" s="116" t="str">
        <f>IF(AND('[2]Mapa final'!$Y$33="Alta",'[2]Mapa final'!$AA$33="Leve"),CONCATENATE("R4C",'[2]Mapa final'!$O$33),"")</f>
        <v/>
      </c>
      <c r="N19" s="116" t="str">
        <f>IF(AND('[2]Mapa final'!$Y$34="Alta",'[2]Mapa final'!$AA$34="Leve"),CONCATENATE("R4C",'[2]Mapa final'!$O$34),"")</f>
        <v/>
      </c>
      <c r="O19" s="117" t="str">
        <f>IF(AND('[2]Mapa final'!$Y$35="Alta",'[2]Mapa final'!$AA$35="Leve"),CONCATENATE("R4C",'[2]Mapa final'!$O$35),"")</f>
        <v/>
      </c>
      <c r="P19" s="115" t="e">
        <f>IF(AND('[2]Mapa final'!$Y$30="Alta",'[2]Mapa final'!$AA$30="Menor"),CONCATENATE("R4C",'[2]Mapa final'!$O$30),"")</f>
        <v>#REF!</v>
      </c>
      <c r="Q19" s="116" t="str">
        <f>IF(AND('[2]Mapa final'!$Y$31="Alta",'[2]Mapa final'!$AA$31="Menor"),CONCATENATE("R4C",'[2]Mapa final'!$O$31),"")</f>
        <v/>
      </c>
      <c r="R19" s="116" t="str">
        <f>IF(AND('[2]Mapa final'!$Y$32="Alta",'[2]Mapa final'!$AA$32="Menor"),CONCATENATE("R4C",'[2]Mapa final'!$O$32),"")</f>
        <v/>
      </c>
      <c r="S19" s="116" t="str">
        <f>IF(AND('[2]Mapa final'!$Y$33="Alta",'[2]Mapa final'!$AA$33="Menor"),CONCATENATE("R4C",'[2]Mapa final'!$O$33),"")</f>
        <v/>
      </c>
      <c r="T19" s="116" t="str">
        <f>IF(AND('[2]Mapa final'!$Y$34="Alta",'[2]Mapa final'!$AA$34="Menor"),CONCATENATE("R4C",'[2]Mapa final'!$O$34),"")</f>
        <v/>
      </c>
      <c r="U19" s="117" t="str">
        <f>IF(AND('[2]Mapa final'!$Y$35="Alta",'[2]Mapa final'!$AA$35="Menor"),CONCATENATE("R4C",'[2]Mapa final'!$O$35),"")</f>
        <v/>
      </c>
      <c r="V19" s="100" t="e">
        <f>IF(AND('[2]Mapa final'!$Y$30="Alta",'[2]Mapa final'!$AA$30="Moderado"),CONCATENATE("R4C",'[2]Mapa final'!$O$30),"")</f>
        <v>#REF!</v>
      </c>
      <c r="W19" s="101" t="str">
        <f>IF(AND('[2]Mapa final'!$Y$31="Alta",'[2]Mapa final'!$AA$31="Moderado"),CONCATENATE("R4C",'[2]Mapa final'!$O$31),"")</f>
        <v/>
      </c>
      <c r="X19" s="101" t="str">
        <f>IF(AND('[2]Mapa final'!$Y$32="Alta",'[2]Mapa final'!$AA$32="Moderado"),CONCATENATE("R4C",'[2]Mapa final'!$O$32),"")</f>
        <v/>
      </c>
      <c r="Y19" s="101" t="str">
        <f>IF(AND('[2]Mapa final'!$Y$33="Alta",'[2]Mapa final'!$AA$33="Moderado"),CONCATENATE("R4C",'[2]Mapa final'!$O$33),"")</f>
        <v/>
      </c>
      <c r="Z19" s="101" t="str">
        <f>IF(AND('[2]Mapa final'!$Y$34="Alta",'[2]Mapa final'!$AA$34="Moderado"),CONCATENATE("R4C",'[2]Mapa final'!$O$34),"")</f>
        <v/>
      </c>
      <c r="AA19" s="102" t="str">
        <f>IF(AND('[2]Mapa final'!$Y$35="Alta",'[2]Mapa final'!$AA$35="Moderado"),CONCATENATE("R4C",'[2]Mapa final'!$O$35),"")</f>
        <v/>
      </c>
      <c r="AB19" s="100" t="e">
        <f>IF(AND('[2]Mapa final'!$Y$30="Alta",'[2]Mapa final'!$AA$30="Mayor"),CONCATENATE("R4C",'[2]Mapa final'!$O$30),"")</f>
        <v>#REF!</v>
      </c>
      <c r="AC19" s="101" t="str">
        <f>IF(AND('[2]Mapa final'!$Y$31="Alta",'[2]Mapa final'!$AA$31="Mayor"),CONCATENATE("R4C",'[2]Mapa final'!$O$31),"")</f>
        <v/>
      </c>
      <c r="AD19" s="101" t="str">
        <f>IF(AND('[2]Mapa final'!$Y$32="Alta",'[2]Mapa final'!$AA$32="Mayor"),CONCATENATE("R4C",'[2]Mapa final'!$O$32),"")</f>
        <v/>
      </c>
      <c r="AE19" s="101" t="str">
        <f>IF(AND('[2]Mapa final'!$Y$33="Alta",'[2]Mapa final'!$AA$33="Mayor"),CONCATENATE("R4C",'[2]Mapa final'!$O$33),"")</f>
        <v/>
      </c>
      <c r="AF19" s="101" t="str">
        <f>IF(AND('[2]Mapa final'!$Y$34="Alta",'[2]Mapa final'!$AA$34="Mayor"),CONCATENATE("R4C",'[2]Mapa final'!$O$34),"")</f>
        <v/>
      </c>
      <c r="AG19" s="102" t="str">
        <f>IF(AND('[2]Mapa final'!$Y$35="Alta",'[2]Mapa final'!$AA$35="Mayor"),CONCATENATE("R4C",'[2]Mapa final'!$O$35),"")</f>
        <v/>
      </c>
      <c r="AH19" s="103" t="e">
        <f>IF(AND('[2]Mapa final'!$Y$30="Alta",'[2]Mapa final'!$AA$30="Catastrófico"),CONCATENATE("R4C",'[2]Mapa final'!$O$30),"")</f>
        <v>#REF!</v>
      </c>
      <c r="AI19" s="104" t="str">
        <f>IF(AND('[2]Mapa final'!$Y$31="Alta",'[2]Mapa final'!$AA$31="Catastrófico"),CONCATENATE("R4C",'[2]Mapa final'!$O$31),"")</f>
        <v/>
      </c>
      <c r="AJ19" s="104" t="str">
        <f>IF(AND('[2]Mapa final'!$Y$32="Alta",'[2]Mapa final'!$AA$32="Catastrófico"),CONCATENATE("R4C",'[2]Mapa final'!$O$32),"")</f>
        <v/>
      </c>
      <c r="AK19" s="104" t="str">
        <f>IF(AND('[2]Mapa final'!$Y$33="Alta",'[2]Mapa final'!$AA$33="Catastrófico"),CONCATENATE("R4C",'[2]Mapa final'!$O$33),"")</f>
        <v/>
      </c>
      <c r="AL19" s="104" t="str">
        <f>IF(AND('[2]Mapa final'!$Y$34="Alta",'[2]Mapa final'!$AA$34="Catastrófico"),CONCATENATE("R4C",'[2]Mapa final'!$O$34),"")</f>
        <v/>
      </c>
      <c r="AM19" s="105" t="str">
        <f>IF(AND('[2]Mapa final'!$Y$35="Alta",'[2]Mapa final'!$AA$35="Catastrófico"),CONCATENATE("R4C",'[2]Mapa final'!$O$35),"")</f>
        <v/>
      </c>
      <c r="AN19" s="92"/>
      <c r="AO19" s="444"/>
      <c r="AP19" s="445"/>
      <c r="AQ19" s="445"/>
      <c r="AR19" s="445"/>
      <c r="AS19" s="445"/>
      <c r="AT19" s="446"/>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row>
    <row r="20" spans="1:76" ht="15" customHeight="1">
      <c r="A20" s="92"/>
      <c r="B20" s="417"/>
      <c r="C20" s="417"/>
      <c r="D20" s="418"/>
      <c r="E20" s="422"/>
      <c r="F20" s="423"/>
      <c r="G20" s="423"/>
      <c r="H20" s="423"/>
      <c r="I20" s="423"/>
      <c r="J20" s="115" t="str">
        <f>IF(AND('[2]Mapa final'!$Y$36="Alta",'[2]Mapa final'!$AA$36="Leve"),CONCATENATE("R5C",'[2]Mapa final'!$O$36),"")</f>
        <v/>
      </c>
      <c r="K20" s="116" t="str">
        <f>IF(AND('[2]Mapa final'!$Y$37="Alta",'[2]Mapa final'!$AA$37="Leve"),CONCATENATE("R5C",'[2]Mapa final'!$O$37),"")</f>
        <v/>
      </c>
      <c r="L20" s="116" t="str">
        <f>IF(AND('[2]Mapa final'!$Y$38="Alta",'[2]Mapa final'!$AA$38="Leve"),CONCATENATE("R5C",'[2]Mapa final'!$O$38),"")</f>
        <v/>
      </c>
      <c r="M20" s="116" t="str">
        <f>IF(AND('[2]Mapa final'!$Y$39="Alta",'[2]Mapa final'!$AA$39="Leve"),CONCATENATE("R5C",'[2]Mapa final'!$O$39),"")</f>
        <v/>
      </c>
      <c r="N20" s="116" t="str">
        <f>IF(AND('[2]Mapa final'!$Y$40="Alta",'[2]Mapa final'!$AA$40="Leve"),CONCATENATE("R5C",'[2]Mapa final'!$O$40),"")</f>
        <v/>
      </c>
      <c r="O20" s="117" t="str">
        <f>IF(AND('[2]Mapa final'!$Y$41="Alta",'[2]Mapa final'!$AA$41="Leve"),CONCATENATE("R5C",'[2]Mapa final'!$O$41),"")</f>
        <v/>
      </c>
      <c r="P20" s="115" t="str">
        <f>IF(AND('[2]Mapa final'!$Y$36="Alta",'[2]Mapa final'!$AA$36="Menor"),CONCATENATE("R5C",'[2]Mapa final'!$O$36),"")</f>
        <v/>
      </c>
      <c r="Q20" s="116" t="str">
        <f>IF(AND('[2]Mapa final'!$Y$37="Alta",'[2]Mapa final'!$AA$37="Menor"),CONCATENATE("R5C",'[2]Mapa final'!$O$37),"")</f>
        <v/>
      </c>
      <c r="R20" s="116" t="str">
        <f>IF(AND('[2]Mapa final'!$Y$38="Alta",'[2]Mapa final'!$AA$38="Menor"),CONCATENATE("R5C",'[2]Mapa final'!$O$38),"")</f>
        <v/>
      </c>
      <c r="S20" s="116" t="str">
        <f>IF(AND('[2]Mapa final'!$Y$39="Alta",'[2]Mapa final'!$AA$39="Menor"),CONCATENATE("R5C",'[2]Mapa final'!$O$39),"")</f>
        <v/>
      </c>
      <c r="T20" s="116" t="str">
        <f>IF(AND('[2]Mapa final'!$Y$40="Alta",'[2]Mapa final'!$AA$40="Menor"),CONCATENATE("R5C",'[2]Mapa final'!$O$40),"")</f>
        <v/>
      </c>
      <c r="U20" s="117" t="str">
        <f>IF(AND('[2]Mapa final'!$Y$41="Alta",'[2]Mapa final'!$AA$41="Menor"),CONCATENATE("R5C",'[2]Mapa final'!$O$41),"")</f>
        <v/>
      </c>
      <c r="V20" s="100" t="str">
        <f>IF(AND('[2]Mapa final'!$Y$36="Alta",'[2]Mapa final'!$AA$36="Moderado"),CONCATENATE("R5C",'[2]Mapa final'!$O$36),"")</f>
        <v/>
      </c>
      <c r="W20" s="101" t="str">
        <f>IF(AND('[2]Mapa final'!$Y$37="Alta",'[2]Mapa final'!$AA$37="Moderado"),CONCATENATE("R5C",'[2]Mapa final'!$O$37),"")</f>
        <v/>
      </c>
      <c r="X20" s="101" t="str">
        <f>IF(AND('[2]Mapa final'!$Y$38="Alta",'[2]Mapa final'!$AA$38="Moderado"),CONCATENATE("R5C",'[2]Mapa final'!$O$38),"")</f>
        <v/>
      </c>
      <c r="Y20" s="101" t="str">
        <f>IF(AND('[2]Mapa final'!$Y$39="Alta",'[2]Mapa final'!$AA$39="Moderado"),CONCATENATE("R5C",'[2]Mapa final'!$O$39),"")</f>
        <v/>
      </c>
      <c r="Z20" s="101" t="str">
        <f>IF(AND('[2]Mapa final'!$Y$40="Alta",'[2]Mapa final'!$AA$40="Moderado"),CONCATENATE("R5C",'[2]Mapa final'!$O$40),"")</f>
        <v/>
      </c>
      <c r="AA20" s="102" t="str">
        <f>IF(AND('[2]Mapa final'!$Y$41="Alta",'[2]Mapa final'!$AA$41="Moderado"),CONCATENATE("R5C",'[2]Mapa final'!$O$41),"")</f>
        <v/>
      </c>
      <c r="AB20" s="100" t="str">
        <f>IF(AND('[2]Mapa final'!$Y$36="Alta",'[2]Mapa final'!$AA$36="Mayor"),CONCATENATE("R5C",'[2]Mapa final'!$O$36),"")</f>
        <v/>
      </c>
      <c r="AC20" s="101" t="str">
        <f>IF(AND('[2]Mapa final'!$Y$37="Alta",'[2]Mapa final'!$AA$37="Mayor"),CONCATENATE("R5C",'[2]Mapa final'!$O$37),"")</f>
        <v/>
      </c>
      <c r="AD20" s="101" t="str">
        <f>IF(AND('[2]Mapa final'!$Y$38="Alta",'[2]Mapa final'!$AA$38="Mayor"),CONCATENATE("R5C",'[2]Mapa final'!$O$38),"")</f>
        <v/>
      </c>
      <c r="AE20" s="101" t="str">
        <f>IF(AND('[2]Mapa final'!$Y$39="Alta",'[2]Mapa final'!$AA$39="Mayor"),CONCATENATE("R5C",'[2]Mapa final'!$O$39),"")</f>
        <v/>
      </c>
      <c r="AF20" s="101" t="str">
        <f>IF(AND('[2]Mapa final'!$Y$40="Alta",'[2]Mapa final'!$AA$40="Mayor"),CONCATENATE("R5C",'[2]Mapa final'!$O$40),"")</f>
        <v/>
      </c>
      <c r="AG20" s="102" t="str">
        <f>IF(AND('[2]Mapa final'!$Y$41="Alta",'[2]Mapa final'!$AA$41="Mayor"),CONCATENATE("R5C",'[2]Mapa final'!$O$41),"")</f>
        <v/>
      </c>
      <c r="AH20" s="103" t="str">
        <f>IF(AND('[2]Mapa final'!$Y$36="Alta",'[2]Mapa final'!$AA$36="Catastrófico"),CONCATENATE("R5C",'[2]Mapa final'!$O$36),"")</f>
        <v/>
      </c>
      <c r="AI20" s="104" t="str">
        <f>IF(AND('[2]Mapa final'!$Y$37="Alta",'[2]Mapa final'!$AA$37="Catastrófico"),CONCATENATE("R5C",'[2]Mapa final'!$O$37),"")</f>
        <v/>
      </c>
      <c r="AJ20" s="104" t="str">
        <f>IF(AND('[2]Mapa final'!$Y$38="Alta",'[2]Mapa final'!$AA$38="Catastrófico"),CONCATENATE("R5C",'[2]Mapa final'!$O$38),"")</f>
        <v/>
      </c>
      <c r="AK20" s="104" t="str">
        <f>IF(AND('[2]Mapa final'!$Y$39="Alta",'[2]Mapa final'!$AA$39="Catastrófico"),CONCATENATE("R5C",'[2]Mapa final'!$O$39),"")</f>
        <v/>
      </c>
      <c r="AL20" s="104" t="str">
        <f>IF(AND('[2]Mapa final'!$Y$40="Alta",'[2]Mapa final'!$AA$40="Catastrófico"),CONCATENATE("R5C",'[2]Mapa final'!$O$40),"")</f>
        <v/>
      </c>
      <c r="AM20" s="105" t="str">
        <f>IF(AND('[2]Mapa final'!$Y$41="Alta",'[2]Mapa final'!$AA$41="Catastrófico"),CONCATENATE("R5C",'[2]Mapa final'!$O$41),"")</f>
        <v/>
      </c>
      <c r="AN20" s="92"/>
      <c r="AO20" s="444"/>
      <c r="AP20" s="445"/>
      <c r="AQ20" s="445"/>
      <c r="AR20" s="445"/>
      <c r="AS20" s="445"/>
      <c r="AT20" s="446"/>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row>
    <row r="21" spans="1:76" ht="15" customHeight="1">
      <c r="A21" s="92"/>
      <c r="B21" s="417"/>
      <c r="C21" s="417"/>
      <c r="D21" s="418"/>
      <c r="E21" s="422"/>
      <c r="F21" s="423"/>
      <c r="G21" s="423"/>
      <c r="H21" s="423"/>
      <c r="I21" s="423"/>
      <c r="J21" s="115" t="str">
        <f>IF(AND('[2]Mapa final'!$Y$42="Alta",'[2]Mapa final'!$AA$42="Leve"),CONCATENATE("R6C",'[2]Mapa final'!$O$42),"")</f>
        <v/>
      </c>
      <c r="K21" s="116" t="str">
        <f>IF(AND('[2]Mapa final'!$Y$43="Alta",'[2]Mapa final'!$AA$43="Leve"),CONCATENATE("R6C",'[2]Mapa final'!$O$43),"")</f>
        <v/>
      </c>
      <c r="L21" s="116" t="str">
        <f>IF(AND('[2]Mapa final'!$Y$44="Alta",'[2]Mapa final'!$AA$44="Leve"),CONCATENATE("R6C",'[2]Mapa final'!$O$44),"")</f>
        <v/>
      </c>
      <c r="M21" s="116" t="str">
        <f>IF(AND('[2]Mapa final'!$Y$45="Alta",'[2]Mapa final'!$AA$45="Leve"),CONCATENATE("R6C",'[2]Mapa final'!$O$45),"")</f>
        <v/>
      </c>
      <c r="N21" s="116" t="str">
        <f>IF(AND('[2]Mapa final'!$Y$46="Alta",'[2]Mapa final'!$AA$46="Leve"),CONCATENATE("R6C",'[2]Mapa final'!$O$46),"")</f>
        <v/>
      </c>
      <c r="O21" s="117" t="str">
        <f>IF(AND('[2]Mapa final'!$Y$47="Alta",'[2]Mapa final'!$AA$47="Leve"),CONCATENATE("R6C",'[2]Mapa final'!$O$47),"")</f>
        <v/>
      </c>
      <c r="P21" s="115" t="str">
        <f>IF(AND('[2]Mapa final'!$Y$42="Alta",'[2]Mapa final'!$AA$42="Menor"),CONCATENATE("R6C",'[2]Mapa final'!$O$42),"")</f>
        <v/>
      </c>
      <c r="Q21" s="116" t="str">
        <f>IF(AND('[2]Mapa final'!$Y$43="Alta",'[2]Mapa final'!$AA$43="Menor"),CONCATENATE("R6C",'[2]Mapa final'!$O$43),"")</f>
        <v/>
      </c>
      <c r="R21" s="116" t="str">
        <f>IF(AND('[2]Mapa final'!$Y$44="Alta",'[2]Mapa final'!$AA$44="Menor"),CONCATENATE("R6C",'[2]Mapa final'!$O$44),"")</f>
        <v/>
      </c>
      <c r="S21" s="116" t="str">
        <f>IF(AND('[2]Mapa final'!$Y$45="Alta",'[2]Mapa final'!$AA$45="Menor"),CONCATENATE("R6C",'[2]Mapa final'!$O$45),"")</f>
        <v/>
      </c>
      <c r="T21" s="116" t="str">
        <f>IF(AND('[2]Mapa final'!$Y$46="Alta",'[2]Mapa final'!$AA$46="Menor"),CONCATENATE("R6C",'[2]Mapa final'!$O$46),"")</f>
        <v/>
      </c>
      <c r="U21" s="117" t="str">
        <f>IF(AND('[2]Mapa final'!$Y$47="Alta",'[2]Mapa final'!$AA$47="Menor"),CONCATENATE("R6C",'[2]Mapa final'!$O$47),"")</f>
        <v/>
      </c>
      <c r="V21" s="100" t="str">
        <f>IF(AND('[2]Mapa final'!$Y$42="Alta",'[2]Mapa final'!$AA$42="Moderado"),CONCATENATE("R6C",'[2]Mapa final'!$O$42),"")</f>
        <v/>
      </c>
      <c r="W21" s="101" t="str">
        <f>IF(AND('[2]Mapa final'!$Y$43="Alta",'[2]Mapa final'!$AA$43="Moderado"),CONCATENATE("R6C",'[2]Mapa final'!$O$43),"")</f>
        <v/>
      </c>
      <c r="X21" s="101" t="str">
        <f>IF(AND('[2]Mapa final'!$Y$44="Alta",'[2]Mapa final'!$AA$44="Moderado"),CONCATENATE("R6C",'[2]Mapa final'!$O$44),"")</f>
        <v/>
      </c>
      <c r="Y21" s="101" t="str">
        <f>IF(AND('[2]Mapa final'!$Y$45="Alta",'[2]Mapa final'!$AA$45="Moderado"),CONCATENATE("R6C",'[2]Mapa final'!$O$45),"")</f>
        <v/>
      </c>
      <c r="Z21" s="101" t="str">
        <f>IF(AND('[2]Mapa final'!$Y$46="Alta",'[2]Mapa final'!$AA$46="Moderado"),CONCATENATE("R6C",'[2]Mapa final'!$O$46),"")</f>
        <v/>
      </c>
      <c r="AA21" s="102" t="str">
        <f>IF(AND('[2]Mapa final'!$Y$47="Alta",'[2]Mapa final'!$AA$47="Moderado"),CONCATENATE("R6C",'[2]Mapa final'!$O$47),"")</f>
        <v/>
      </c>
      <c r="AB21" s="100" t="str">
        <f>IF(AND('[2]Mapa final'!$Y$42="Alta",'[2]Mapa final'!$AA$42="Mayor"),CONCATENATE("R6C",'[2]Mapa final'!$O$42),"")</f>
        <v/>
      </c>
      <c r="AC21" s="101" t="str">
        <f>IF(AND('[2]Mapa final'!$Y$43="Alta",'[2]Mapa final'!$AA$43="Mayor"),CONCATENATE("R6C",'[2]Mapa final'!$O$43),"")</f>
        <v/>
      </c>
      <c r="AD21" s="101" t="str">
        <f>IF(AND('[2]Mapa final'!$Y$44="Alta",'[2]Mapa final'!$AA$44="Mayor"),CONCATENATE("R6C",'[2]Mapa final'!$O$44),"")</f>
        <v/>
      </c>
      <c r="AE21" s="101" t="str">
        <f>IF(AND('[2]Mapa final'!$Y$45="Alta",'[2]Mapa final'!$AA$45="Mayor"),CONCATENATE("R6C",'[2]Mapa final'!$O$45),"")</f>
        <v/>
      </c>
      <c r="AF21" s="101" t="str">
        <f>IF(AND('[2]Mapa final'!$Y$46="Alta",'[2]Mapa final'!$AA$46="Mayor"),CONCATENATE("R6C",'[2]Mapa final'!$O$46),"")</f>
        <v/>
      </c>
      <c r="AG21" s="102" t="str">
        <f>IF(AND('[2]Mapa final'!$Y$47="Alta",'[2]Mapa final'!$AA$47="Mayor"),CONCATENATE("R6C",'[2]Mapa final'!$O$47),"")</f>
        <v/>
      </c>
      <c r="AH21" s="103" t="str">
        <f>IF(AND('[2]Mapa final'!$Y$42="Alta",'[2]Mapa final'!$AA$42="Catastrófico"),CONCATENATE("R6C",'[2]Mapa final'!$O$42),"")</f>
        <v/>
      </c>
      <c r="AI21" s="104" t="str">
        <f>IF(AND('[2]Mapa final'!$Y$43="Alta",'[2]Mapa final'!$AA$43="Catastrófico"),CONCATENATE("R6C",'[2]Mapa final'!$O$43),"")</f>
        <v/>
      </c>
      <c r="AJ21" s="104" t="str">
        <f>IF(AND('[2]Mapa final'!$Y$44="Alta",'[2]Mapa final'!$AA$44="Catastrófico"),CONCATENATE("R6C",'[2]Mapa final'!$O$44),"")</f>
        <v/>
      </c>
      <c r="AK21" s="104" t="str">
        <f>IF(AND('[2]Mapa final'!$Y$45="Alta",'[2]Mapa final'!$AA$45="Catastrófico"),CONCATENATE("R6C",'[2]Mapa final'!$O$45),"")</f>
        <v/>
      </c>
      <c r="AL21" s="104" t="str">
        <f>IF(AND('[2]Mapa final'!$Y$46="Alta",'[2]Mapa final'!$AA$46="Catastrófico"),CONCATENATE("R6C",'[2]Mapa final'!$O$46),"")</f>
        <v/>
      </c>
      <c r="AM21" s="105" t="str">
        <f>IF(AND('[2]Mapa final'!$Y$47="Alta",'[2]Mapa final'!$AA$47="Catastrófico"),CONCATENATE("R6C",'[2]Mapa final'!$O$47),"")</f>
        <v/>
      </c>
      <c r="AN21" s="92"/>
      <c r="AO21" s="444"/>
      <c r="AP21" s="445"/>
      <c r="AQ21" s="445"/>
      <c r="AR21" s="445"/>
      <c r="AS21" s="445"/>
      <c r="AT21" s="446"/>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row>
    <row r="22" spans="1:76" ht="15" customHeight="1">
      <c r="A22" s="92"/>
      <c r="B22" s="417"/>
      <c r="C22" s="417"/>
      <c r="D22" s="418"/>
      <c r="E22" s="422"/>
      <c r="F22" s="423"/>
      <c r="G22" s="423"/>
      <c r="H22" s="423"/>
      <c r="I22" s="423"/>
      <c r="J22" s="115" t="str">
        <f>IF(AND('[2]Mapa final'!$Y$48="Alta",'[2]Mapa final'!$AA$48="Leve"),CONCATENATE("R7C",'[2]Mapa final'!$O$48),"")</f>
        <v/>
      </c>
      <c r="K22" s="116" t="str">
        <f>IF(AND('[2]Mapa final'!$Y$49="Alta",'[2]Mapa final'!$AA$49="Leve"),CONCATENATE("R7C",'[2]Mapa final'!$O$49),"")</f>
        <v/>
      </c>
      <c r="L22" s="116" t="str">
        <f>IF(AND('[2]Mapa final'!$Y$50="Alta",'[2]Mapa final'!$AA$50="Leve"),CONCATENATE("R7C",'[2]Mapa final'!$O$50),"")</f>
        <v/>
      </c>
      <c r="M22" s="116" t="str">
        <f>IF(AND('[2]Mapa final'!$Y$51="Alta",'[2]Mapa final'!$AA$51="Leve"),CONCATENATE("R7C",'[2]Mapa final'!$O$51),"")</f>
        <v/>
      </c>
      <c r="N22" s="116" t="str">
        <f>IF(AND('[2]Mapa final'!$Y$52="Alta",'[2]Mapa final'!$AA$52="Leve"),CONCATENATE("R7C",'[2]Mapa final'!$O$52),"")</f>
        <v/>
      </c>
      <c r="O22" s="117" t="str">
        <f>IF(AND('[2]Mapa final'!$Y$53="Alta",'[2]Mapa final'!$AA$53="Leve"),CONCATENATE("R7C",'[2]Mapa final'!$O$53),"")</f>
        <v/>
      </c>
      <c r="P22" s="115" t="str">
        <f>IF(AND('[2]Mapa final'!$Y$48="Alta",'[2]Mapa final'!$AA$48="Menor"),CONCATENATE("R7C",'[2]Mapa final'!$O$48),"")</f>
        <v/>
      </c>
      <c r="Q22" s="116" t="str">
        <f>IF(AND('[2]Mapa final'!$Y$49="Alta",'[2]Mapa final'!$AA$49="Menor"),CONCATENATE("R7C",'[2]Mapa final'!$O$49),"")</f>
        <v/>
      </c>
      <c r="R22" s="116" t="str">
        <f>IF(AND('[2]Mapa final'!$Y$50="Alta",'[2]Mapa final'!$AA$50="Menor"),CONCATENATE("R7C",'[2]Mapa final'!$O$50),"")</f>
        <v/>
      </c>
      <c r="S22" s="116" t="str">
        <f>IF(AND('[2]Mapa final'!$Y$51="Alta",'[2]Mapa final'!$AA$51="Menor"),CONCATENATE("R7C",'[2]Mapa final'!$O$51),"")</f>
        <v/>
      </c>
      <c r="T22" s="116" t="str">
        <f>IF(AND('[2]Mapa final'!$Y$52="Alta",'[2]Mapa final'!$AA$52="Menor"),CONCATENATE("R7C",'[2]Mapa final'!$O$52),"")</f>
        <v/>
      </c>
      <c r="U22" s="117" t="str">
        <f>IF(AND('[2]Mapa final'!$Y$53="Alta",'[2]Mapa final'!$AA$53="Menor"),CONCATENATE("R7C",'[2]Mapa final'!$O$53),"")</f>
        <v/>
      </c>
      <c r="V22" s="100" t="str">
        <f>IF(AND('[2]Mapa final'!$Y$48="Alta",'[2]Mapa final'!$AA$48="Moderado"),CONCATENATE("R7C",'[2]Mapa final'!$O$48),"")</f>
        <v/>
      </c>
      <c r="W22" s="101" t="str">
        <f>IF(AND('[2]Mapa final'!$Y$49="Alta",'[2]Mapa final'!$AA$49="Moderado"),CONCATENATE("R7C",'[2]Mapa final'!$O$49),"")</f>
        <v/>
      </c>
      <c r="X22" s="101" t="str">
        <f>IF(AND('[2]Mapa final'!$Y$50="Alta",'[2]Mapa final'!$AA$50="Moderado"),CONCATENATE("R7C",'[2]Mapa final'!$O$50),"")</f>
        <v/>
      </c>
      <c r="Y22" s="101" t="str">
        <f>IF(AND('[2]Mapa final'!$Y$51="Alta",'[2]Mapa final'!$AA$51="Moderado"),CONCATENATE("R7C",'[2]Mapa final'!$O$51),"")</f>
        <v/>
      </c>
      <c r="Z22" s="101" t="str">
        <f>IF(AND('[2]Mapa final'!$Y$52="Alta",'[2]Mapa final'!$AA$52="Moderado"),CONCATENATE("R7C",'[2]Mapa final'!$O$52),"")</f>
        <v/>
      </c>
      <c r="AA22" s="102" t="str">
        <f>IF(AND('[2]Mapa final'!$Y$53="Alta",'[2]Mapa final'!$AA$53="Moderado"),CONCATENATE("R7C",'[2]Mapa final'!$O$53),"")</f>
        <v/>
      </c>
      <c r="AB22" s="100" t="str">
        <f>IF(AND('[2]Mapa final'!$Y$48="Alta",'[2]Mapa final'!$AA$48="Mayor"),CONCATENATE("R7C",'[2]Mapa final'!$O$48),"")</f>
        <v/>
      </c>
      <c r="AC22" s="101" t="str">
        <f>IF(AND('[2]Mapa final'!$Y$49="Alta",'[2]Mapa final'!$AA$49="Mayor"),CONCATENATE("R7C",'[2]Mapa final'!$O$49),"")</f>
        <v/>
      </c>
      <c r="AD22" s="101" t="str">
        <f>IF(AND('[2]Mapa final'!$Y$50="Alta",'[2]Mapa final'!$AA$50="Mayor"),CONCATENATE("R7C",'[2]Mapa final'!$O$50),"")</f>
        <v/>
      </c>
      <c r="AE22" s="101" t="str">
        <f>IF(AND('[2]Mapa final'!$Y$51="Alta",'[2]Mapa final'!$AA$51="Mayor"),CONCATENATE("R7C",'[2]Mapa final'!$O$51),"")</f>
        <v/>
      </c>
      <c r="AF22" s="101" t="str">
        <f>IF(AND('[2]Mapa final'!$Y$52="Alta",'[2]Mapa final'!$AA$52="Mayor"),CONCATENATE("R7C",'[2]Mapa final'!$O$52),"")</f>
        <v/>
      </c>
      <c r="AG22" s="102" t="str">
        <f>IF(AND('[2]Mapa final'!$Y$53="Alta",'[2]Mapa final'!$AA$53="Mayor"),CONCATENATE("R7C",'[2]Mapa final'!$O$53),"")</f>
        <v/>
      </c>
      <c r="AH22" s="103" t="str">
        <f>IF(AND('[2]Mapa final'!$Y$48="Alta",'[2]Mapa final'!$AA$48="Catastrófico"),CONCATENATE("R7C",'[2]Mapa final'!$O$48),"")</f>
        <v/>
      </c>
      <c r="AI22" s="104" t="str">
        <f>IF(AND('[2]Mapa final'!$Y$49="Alta",'[2]Mapa final'!$AA$49="Catastrófico"),CONCATENATE("R7C",'[2]Mapa final'!$O$49),"")</f>
        <v/>
      </c>
      <c r="AJ22" s="104" t="str">
        <f>IF(AND('[2]Mapa final'!$Y$50="Alta",'[2]Mapa final'!$AA$50="Catastrófico"),CONCATENATE("R7C",'[2]Mapa final'!$O$50),"")</f>
        <v/>
      </c>
      <c r="AK22" s="104" t="str">
        <f>IF(AND('[2]Mapa final'!$Y$51="Alta",'[2]Mapa final'!$AA$51="Catastrófico"),CONCATENATE("R7C",'[2]Mapa final'!$O$51),"")</f>
        <v/>
      </c>
      <c r="AL22" s="104" t="str">
        <f>IF(AND('[2]Mapa final'!$Y$52="Alta",'[2]Mapa final'!$AA$52="Catastrófico"),CONCATENATE("R7C",'[2]Mapa final'!$O$52),"")</f>
        <v/>
      </c>
      <c r="AM22" s="105" t="str">
        <f>IF(AND('[2]Mapa final'!$Y$53="Alta",'[2]Mapa final'!$AA$53="Catastrófico"),CONCATENATE("R7C",'[2]Mapa final'!$O$53),"")</f>
        <v/>
      </c>
      <c r="AN22" s="92"/>
      <c r="AO22" s="444"/>
      <c r="AP22" s="445"/>
      <c r="AQ22" s="445"/>
      <c r="AR22" s="445"/>
      <c r="AS22" s="445"/>
      <c r="AT22" s="446"/>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row>
    <row r="23" spans="1:76" ht="15" customHeight="1">
      <c r="A23" s="92"/>
      <c r="B23" s="417"/>
      <c r="C23" s="417"/>
      <c r="D23" s="418"/>
      <c r="E23" s="422"/>
      <c r="F23" s="423"/>
      <c r="G23" s="423"/>
      <c r="H23" s="423"/>
      <c r="I23" s="423"/>
      <c r="J23" s="115" t="str">
        <f>IF(AND('[2]Mapa final'!$Y$54="Alta",'[2]Mapa final'!$AA$54="Leve"),CONCATENATE("R8C",'[2]Mapa final'!$O$54),"")</f>
        <v/>
      </c>
      <c r="K23" s="116" t="str">
        <f>IF(AND('[2]Mapa final'!$Y$55="Alta",'[2]Mapa final'!$AA$55="Leve"),CONCATENATE("R8C",'[2]Mapa final'!$O$55),"")</f>
        <v/>
      </c>
      <c r="L23" s="116" t="str">
        <f>IF(AND('[2]Mapa final'!$Y$56="Alta",'[2]Mapa final'!$AA$56="Leve"),CONCATENATE("R8C",'[2]Mapa final'!$O$56),"")</f>
        <v/>
      </c>
      <c r="M23" s="116" t="str">
        <f>IF(AND('[2]Mapa final'!$Y$57="Alta",'[2]Mapa final'!$AA$57="Leve"),CONCATENATE("R8C",'[2]Mapa final'!$O$57),"")</f>
        <v/>
      </c>
      <c r="N23" s="116" t="str">
        <f>IF(AND('[2]Mapa final'!$Y$58="Alta",'[2]Mapa final'!$AA$58="Leve"),CONCATENATE("R8C",'[2]Mapa final'!$O$58),"")</f>
        <v/>
      </c>
      <c r="O23" s="117" t="str">
        <f>IF(AND('[2]Mapa final'!$Y$59="Alta",'[2]Mapa final'!$AA$59="Leve"),CONCATENATE("R8C",'[2]Mapa final'!$O$59),"")</f>
        <v/>
      </c>
      <c r="P23" s="115" t="str">
        <f>IF(AND('[2]Mapa final'!$Y$54="Alta",'[2]Mapa final'!$AA$54="Menor"),CONCATENATE("R8C",'[2]Mapa final'!$O$54),"")</f>
        <v/>
      </c>
      <c r="Q23" s="116" t="str">
        <f>IF(AND('[2]Mapa final'!$Y$55="Alta",'[2]Mapa final'!$AA$55="Menor"),CONCATENATE("R8C",'[2]Mapa final'!$O$55),"")</f>
        <v/>
      </c>
      <c r="R23" s="116" t="str">
        <f>IF(AND('[2]Mapa final'!$Y$56="Alta",'[2]Mapa final'!$AA$56="Menor"),CONCATENATE("R8C",'[2]Mapa final'!$O$56),"")</f>
        <v/>
      </c>
      <c r="S23" s="116" t="str">
        <f>IF(AND('[2]Mapa final'!$Y$57="Alta",'[2]Mapa final'!$AA$57="Menor"),CONCATENATE("R8C",'[2]Mapa final'!$O$57),"")</f>
        <v/>
      </c>
      <c r="T23" s="116" t="str">
        <f>IF(AND('[2]Mapa final'!$Y$58="Alta",'[2]Mapa final'!$AA$58="Menor"),CONCATENATE("R8C",'[2]Mapa final'!$O$58),"")</f>
        <v/>
      </c>
      <c r="U23" s="117" t="str">
        <f>IF(AND('[2]Mapa final'!$Y$59="Alta",'[2]Mapa final'!$AA$59="Menor"),CONCATENATE("R8C",'[2]Mapa final'!$O$59),"")</f>
        <v/>
      </c>
      <c r="V23" s="100" t="str">
        <f>IF(AND('[2]Mapa final'!$Y$54="Alta",'[2]Mapa final'!$AA$54="Moderado"),CONCATENATE("R8C",'[2]Mapa final'!$O$54),"")</f>
        <v/>
      </c>
      <c r="W23" s="101" t="str">
        <f>IF(AND('[2]Mapa final'!$Y$55="Alta",'[2]Mapa final'!$AA$55="Moderado"),CONCATENATE("R8C",'[2]Mapa final'!$O$55),"")</f>
        <v/>
      </c>
      <c r="X23" s="101" t="str">
        <f>IF(AND('[2]Mapa final'!$Y$56="Alta",'[2]Mapa final'!$AA$56="Moderado"),CONCATENATE("R8C",'[2]Mapa final'!$O$56),"")</f>
        <v/>
      </c>
      <c r="Y23" s="101" t="str">
        <f>IF(AND('[2]Mapa final'!$Y$57="Alta",'[2]Mapa final'!$AA$57="Moderado"),CONCATENATE("R8C",'[2]Mapa final'!$O$57),"")</f>
        <v/>
      </c>
      <c r="Z23" s="101" t="str">
        <f>IF(AND('[2]Mapa final'!$Y$58="Alta",'[2]Mapa final'!$AA$58="Moderado"),CONCATENATE("R8C",'[2]Mapa final'!$O$58),"")</f>
        <v/>
      </c>
      <c r="AA23" s="102" t="str">
        <f>IF(AND('[2]Mapa final'!$Y$59="Alta",'[2]Mapa final'!$AA$59="Moderado"),CONCATENATE("R8C",'[2]Mapa final'!$O$59),"")</f>
        <v/>
      </c>
      <c r="AB23" s="100" t="str">
        <f>IF(AND('[2]Mapa final'!$Y$54="Alta",'[2]Mapa final'!$AA$54="Mayor"),CONCATENATE("R8C",'[2]Mapa final'!$O$54),"")</f>
        <v/>
      </c>
      <c r="AC23" s="101" t="str">
        <f>IF(AND('[2]Mapa final'!$Y$55="Alta",'[2]Mapa final'!$AA$55="Mayor"),CONCATENATE("R8C",'[2]Mapa final'!$O$55),"")</f>
        <v/>
      </c>
      <c r="AD23" s="101" t="str">
        <f>IF(AND('[2]Mapa final'!$Y$56="Alta",'[2]Mapa final'!$AA$56="Mayor"),CONCATENATE("R8C",'[2]Mapa final'!$O$56),"")</f>
        <v/>
      </c>
      <c r="AE23" s="101" t="str">
        <f>IF(AND('[2]Mapa final'!$Y$57="Alta",'[2]Mapa final'!$AA$57="Mayor"),CONCATENATE("R8C",'[2]Mapa final'!$O$57),"")</f>
        <v/>
      </c>
      <c r="AF23" s="101" t="str">
        <f>IF(AND('[2]Mapa final'!$Y$58="Alta",'[2]Mapa final'!$AA$58="Mayor"),CONCATENATE("R8C",'[2]Mapa final'!$O$58),"")</f>
        <v/>
      </c>
      <c r="AG23" s="102" t="str">
        <f>IF(AND('[2]Mapa final'!$Y$59="Alta",'[2]Mapa final'!$AA$59="Mayor"),CONCATENATE("R8C",'[2]Mapa final'!$O$59),"")</f>
        <v/>
      </c>
      <c r="AH23" s="103" t="str">
        <f>IF(AND('[2]Mapa final'!$Y$54="Alta",'[2]Mapa final'!$AA$54="Catastrófico"),CONCATENATE("R8C",'[2]Mapa final'!$O$54),"")</f>
        <v/>
      </c>
      <c r="AI23" s="104" t="str">
        <f>IF(AND('[2]Mapa final'!$Y$55="Alta",'[2]Mapa final'!$AA$55="Catastrófico"),CONCATENATE("R8C",'[2]Mapa final'!$O$55),"")</f>
        <v/>
      </c>
      <c r="AJ23" s="104" t="str">
        <f>IF(AND('[2]Mapa final'!$Y$56="Alta",'[2]Mapa final'!$AA$56="Catastrófico"),CONCATENATE("R8C",'[2]Mapa final'!$O$56),"")</f>
        <v/>
      </c>
      <c r="AK23" s="104" t="str">
        <f>IF(AND('[2]Mapa final'!$Y$57="Alta",'[2]Mapa final'!$AA$57="Catastrófico"),CONCATENATE("R8C",'[2]Mapa final'!$O$57),"")</f>
        <v/>
      </c>
      <c r="AL23" s="104" t="str">
        <f>IF(AND('[2]Mapa final'!$Y$58="Alta",'[2]Mapa final'!$AA$58="Catastrófico"),CONCATENATE("R8C",'[2]Mapa final'!$O$58),"")</f>
        <v/>
      </c>
      <c r="AM23" s="105" t="str">
        <f>IF(AND('[2]Mapa final'!$Y$59="Alta",'[2]Mapa final'!$AA$59="Catastrófico"),CONCATENATE("R8C",'[2]Mapa final'!$O$59),"")</f>
        <v/>
      </c>
      <c r="AN23" s="92"/>
      <c r="AO23" s="444"/>
      <c r="AP23" s="445"/>
      <c r="AQ23" s="445"/>
      <c r="AR23" s="445"/>
      <c r="AS23" s="445"/>
      <c r="AT23" s="446"/>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row>
    <row r="24" spans="1:76" ht="15" customHeight="1">
      <c r="A24" s="92"/>
      <c r="B24" s="417"/>
      <c r="C24" s="417"/>
      <c r="D24" s="418"/>
      <c r="E24" s="422"/>
      <c r="F24" s="423"/>
      <c r="G24" s="423"/>
      <c r="H24" s="423"/>
      <c r="I24" s="423"/>
      <c r="J24" s="115" t="str">
        <f>IF(AND('[2]Mapa final'!$Y$60="Alta",'[2]Mapa final'!$AA$60="Leve"),CONCATENATE("R9C",'[2]Mapa final'!$O$60),"")</f>
        <v/>
      </c>
      <c r="K24" s="116" t="str">
        <f>IF(AND('[2]Mapa final'!$Y$61="Alta",'[2]Mapa final'!$AA$61="Leve"),CONCATENATE("R9C",'[2]Mapa final'!$O$61),"")</f>
        <v/>
      </c>
      <c r="L24" s="116" t="str">
        <f>IF(AND('[2]Mapa final'!$Y$62="Alta",'[2]Mapa final'!$AA$62="Leve"),CONCATENATE("R9C",'[2]Mapa final'!$O$62),"")</f>
        <v/>
      </c>
      <c r="M24" s="116" t="str">
        <f>IF(AND('[2]Mapa final'!$Y$63="Alta",'[2]Mapa final'!$AA$63="Leve"),CONCATENATE("R9C",'[2]Mapa final'!$O$63),"")</f>
        <v/>
      </c>
      <c r="N24" s="116" t="str">
        <f>IF(AND('[2]Mapa final'!$Y$64="Alta",'[2]Mapa final'!$AA$64="Leve"),CONCATENATE("R9C",'[2]Mapa final'!$O$64),"")</f>
        <v/>
      </c>
      <c r="O24" s="117" t="str">
        <f>IF(AND('[2]Mapa final'!$Y$65="Alta",'[2]Mapa final'!$AA$65="Leve"),CONCATENATE("R9C",'[2]Mapa final'!$O$65),"")</f>
        <v/>
      </c>
      <c r="P24" s="115" t="str">
        <f>IF(AND('[2]Mapa final'!$Y$60="Alta",'[2]Mapa final'!$AA$60="Menor"),CONCATENATE("R9C",'[2]Mapa final'!$O$60),"")</f>
        <v/>
      </c>
      <c r="Q24" s="116" t="str">
        <f>IF(AND('[2]Mapa final'!$Y$61="Alta",'[2]Mapa final'!$AA$61="Menor"),CONCATENATE("R9C",'[2]Mapa final'!$O$61),"")</f>
        <v/>
      </c>
      <c r="R24" s="116" t="str">
        <f>IF(AND('[2]Mapa final'!$Y$62="Alta",'[2]Mapa final'!$AA$62="Menor"),CONCATENATE("R9C",'[2]Mapa final'!$O$62),"")</f>
        <v/>
      </c>
      <c r="S24" s="116" t="str">
        <f>IF(AND('[2]Mapa final'!$Y$63="Alta",'[2]Mapa final'!$AA$63="Menor"),CONCATENATE("R9C",'[2]Mapa final'!$O$63),"")</f>
        <v/>
      </c>
      <c r="T24" s="116" t="str">
        <f>IF(AND('[2]Mapa final'!$Y$64="Alta",'[2]Mapa final'!$AA$64="Menor"),CONCATENATE("R9C",'[2]Mapa final'!$O$64),"")</f>
        <v/>
      </c>
      <c r="U24" s="117" t="str">
        <f>IF(AND('[2]Mapa final'!$Y$65="Alta",'[2]Mapa final'!$AA$65="Menor"),CONCATENATE("R9C",'[2]Mapa final'!$O$65),"")</f>
        <v/>
      </c>
      <c r="V24" s="100" t="str">
        <f>IF(AND('[2]Mapa final'!$Y$60="Alta",'[2]Mapa final'!$AA$60="Moderado"),CONCATENATE("R9C",'[2]Mapa final'!$O$60),"")</f>
        <v/>
      </c>
      <c r="W24" s="101" t="str">
        <f>IF(AND('[2]Mapa final'!$Y$61="Alta",'[2]Mapa final'!$AA$61="Moderado"),CONCATENATE("R9C",'[2]Mapa final'!$O$61),"")</f>
        <v/>
      </c>
      <c r="X24" s="101" t="str">
        <f>IF(AND('[2]Mapa final'!$Y$62="Alta",'[2]Mapa final'!$AA$62="Moderado"),CONCATENATE("R9C",'[2]Mapa final'!$O$62),"")</f>
        <v/>
      </c>
      <c r="Y24" s="101" t="str">
        <f>IF(AND('[2]Mapa final'!$Y$63="Alta",'[2]Mapa final'!$AA$63="Moderado"),CONCATENATE("R9C",'[2]Mapa final'!$O$63),"")</f>
        <v/>
      </c>
      <c r="Z24" s="101" t="str">
        <f>IF(AND('[2]Mapa final'!$Y$64="Alta",'[2]Mapa final'!$AA$64="Moderado"),CONCATENATE("R9C",'[2]Mapa final'!$O$64),"")</f>
        <v/>
      </c>
      <c r="AA24" s="102" t="str">
        <f>IF(AND('[2]Mapa final'!$Y$65="Alta",'[2]Mapa final'!$AA$65="Moderado"),CONCATENATE("R9C",'[2]Mapa final'!$O$65),"")</f>
        <v/>
      </c>
      <c r="AB24" s="100" t="str">
        <f>IF(AND('[2]Mapa final'!$Y$60="Alta",'[2]Mapa final'!$AA$60="Mayor"),CONCATENATE("R9C",'[2]Mapa final'!$O$60),"")</f>
        <v/>
      </c>
      <c r="AC24" s="101" t="str">
        <f>IF(AND('[2]Mapa final'!$Y$61="Alta",'[2]Mapa final'!$AA$61="Mayor"),CONCATENATE("R9C",'[2]Mapa final'!$O$61),"")</f>
        <v/>
      </c>
      <c r="AD24" s="101" t="str">
        <f>IF(AND('[2]Mapa final'!$Y$62="Alta",'[2]Mapa final'!$AA$62="Mayor"),CONCATENATE("R9C",'[2]Mapa final'!$O$62),"")</f>
        <v/>
      </c>
      <c r="AE24" s="101" t="str">
        <f>IF(AND('[2]Mapa final'!$Y$63="Alta",'[2]Mapa final'!$AA$63="Mayor"),CONCATENATE("R9C",'[2]Mapa final'!$O$63),"")</f>
        <v/>
      </c>
      <c r="AF24" s="101" t="str">
        <f>IF(AND('[2]Mapa final'!$Y$64="Alta",'[2]Mapa final'!$AA$64="Mayor"),CONCATENATE("R9C",'[2]Mapa final'!$O$64),"")</f>
        <v/>
      </c>
      <c r="AG24" s="102" t="str">
        <f>IF(AND('[2]Mapa final'!$Y$65="Alta",'[2]Mapa final'!$AA$65="Mayor"),CONCATENATE("R9C",'[2]Mapa final'!$O$65),"")</f>
        <v/>
      </c>
      <c r="AH24" s="103" t="str">
        <f>IF(AND('[2]Mapa final'!$Y$60="Alta",'[2]Mapa final'!$AA$60="Catastrófico"),CONCATENATE("R9C",'[2]Mapa final'!$O$60),"")</f>
        <v/>
      </c>
      <c r="AI24" s="104" t="str">
        <f>IF(AND('[2]Mapa final'!$Y$61="Alta",'[2]Mapa final'!$AA$61="Catastrófico"),CONCATENATE("R9C",'[2]Mapa final'!$O$61),"")</f>
        <v/>
      </c>
      <c r="AJ24" s="104" t="str">
        <f>IF(AND('[2]Mapa final'!$Y$62="Alta",'[2]Mapa final'!$AA$62="Catastrófico"),CONCATENATE("R9C",'[2]Mapa final'!$O$62),"")</f>
        <v/>
      </c>
      <c r="AK24" s="104" t="str">
        <f>IF(AND('[2]Mapa final'!$Y$63="Alta",'[2]Mapa final'!$AA$63="Catastrófico"),CONCATENATE("R9C",'[2]Mapa final'!$O$63),"")</f>
        <v/>
      </c>
      <c r="AL24" s="104" t="str">
        <f>IF(AND('[2]Mapa final'!$Y$64="Alta",'[2]Mapa final'!$AA$64="Catastrófico"),CONCATENATE("R9C",'[2]Mapa final'!$O$64),"")</f>
        <v/>
      </c>
      <c r="AM24" s="105" t="str">
        <f>IF(AND('[2]Mapa final'!$Y$65="Alta",'[2]Mapa final'!$AA$65="Catastrófico"),CONCATENATE("R9C",'[2]Mapa final'!$O$65),"")</f>
        <v/>
      </c>
      <c r="AN24" s="92"/>
      <c r="AO24" s="444"/>
      <c r="AP24" s="445"/>
      <c r="AQ24" s="445"/>
      <c r="AR24" s="445"/>
      <c r="AS24" s="445"/>
      <c r="AT24" s="446"/>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row>
    <row r="25" spans="1:76" ht="15.75" customHeight="1" thickBot="1">
      <c r="A25" s="92"/>
      <c r="B25" s="417"/>
      <c r="C25" s="417"/>
      <c r="D25" s="418"/>
      <c r="E25" s="425"/>
      <c r="F25" s="426"/>
      <c r="G25" s="426"/>
      <c r="H25" s="426"/>
      <c r="I25" s="426"/>
      <c r="J25" s="118" t="str">
        <f>IF(AND('[2]Mapa final'!$Y$66="Alta",'[2]Mapa final'!$AA$66="Leve"),CONCATENATE("R10C",'[2]Mapa final'!$O$66),"")</f>
        <v/>
      </c>
      <c r="K25" s="119" t="str">
        <f>IF(AND('[2]Mapa final'!$Y$67="Alta",'[2]Mapa final'!$AA$67="Leve"),CONCATENATE("R10C",'[2]Mapa final'!$O$67),"")</f>
        <v/>
      </c>
      <c r="L25" s="119" t="str">
        <f>IF(AND('[2]Mapa final'!$Y$68="Alta",'[2]Mapa final'!$AA$68="Leve"),CONCATENATE("R10C",'[2]Mapa final'!$O$68),"")</f>
        <v/>
      </c>
      <c r="M25" s="119" t="str">
        <f>IF(AND('[2]Mapa final'!$Y$69="Alta",'[2]Mapa final'!$AA$69="Leve"),CONCATENATE("R10C",'[2]Mapa final'!$O$69),"")</f>
        <v/>
      </c>
      <c r="N25" s="119" t="str">
        <f>IF(AND('[2]Mapa final'!$Y$70="Alta",'[2]Mapa final'!$AA$70="Leve"),CONCATENATE("R10C",'[2]Mapa final'!$O$70),"")</f>
        <v/>
      </c>
      <c r="O25" s="120" t="str">
        <f>IF(AND('[2]Mapa final'!$Y$71="Alta",'[2]Mapa final'!$AA$71="Leve"),CONCATENATE("R10C",'[2]Mapa final'!$O$71),"")</f>
        <v/>
      </c>
      <c r="P25" s="118" t="str">
        <f>IF(AND('[2]Mapa final'!$Y$66="Alta",'[2]Mapa final'!$AA$66="Menor"),CONCATENATE("R10C",'[2]Mapa final'!$O$66),"")</f>
        <v/>
      </c>
      <c r="Q25" s="119" t="str">
        <f>IF(AND('[2]Mapa final'!$Y$67="Alta",'[2]Mapa final'!$AA$67="Menor"),CONCATENATE("R10C",'[2]Mapa final'!$O$67),"")</f>
        <v/>
      </c>
      <c r="R25" s="119" t="str">
        <f>IF(AND('[2]Mapa final'!$Y$68="Alta",'[2]Mapa final'!$AA$68="Menor"),CONCATENATE("R10C",'[2]Mapa final'!$O$68),"")</f>
        <v/>
      </c>
      <c r="S25" s="119" t="str">
        <f>IF(AND('[2]Mapa final'!$Y$69="Alta",'[2]Mapa final'!$AA$69="Menor"),CONCATENATE("R10C",'[2]Mapa final'!$O$69),"")</f>
        <v/>
      </c>
      <c r="T25" s="119" t="str">
        <f>IF(AND('[2]Mapa final'!$Y$70="Alta",'[2]Mapa final'!$AA$70="Menor"),CONCATENATE("R10C",'[2]Mapa final'!$O$70),"")</f>
        <v/>
      </c>
      <c r="U25" s="120" t="str">
        <f>IF(AND('[2]Mapa final'!$Y$71="Alta",'[2]Mapa final'!$AA$71="Menor"),CONCATENATE("R10C",'[2]Mapa final'!$O$71),"")</f>
        <v/>
      </c>
      <c r="V25" s="106" t="str">
        <f>IF(AND('[2]Mapa final'!$Y$66="Alta",'[2]Mapa final'!$AA$66="Moderado"),CONCATENATE("R10C",'[2]Mapa final'!$O$66),"")</f>
        <v/>
      </c>
      <c r="W25" s="107" t="str">
        <f>IF(AND('[2]Mapa final'!$Y$67="Alta",'[2]Mapa final'!$AA$67="Moderado"),CONCATENATE("R10C",'[2]Mapa final'!$O$67),"")</f>
        <v/>
      </c>
      <c r="X25" s="107" t="str">
        <f>IF(AND('[2]Mapa final'!$Y$68="Alta",'[2]Mapa final'!$AA$68="Moderado"),CONCATENATE("R10C",'[2]Mapa final'!$O$68),"")</f>
        <v/>
      </c>
      <c r="Y25" s="107" t="str">
        <f>IF(AND('[2]Mapa final'!$Y$69="Alta",'[2]Mapa final'!$AA$69="Moderado"),CONCATENATE("R10C",'[2]Mapa final'!$O$69),"")</f>
        <v/>
      </c>
      <c r="Z25" s="107" t="str">
        <f>IF(AND('[2]Mapa final'!$Y$70="Alta",'[2]Mapa final'!$AA$70="Moderado"),CONCATENATE("R10C",'[2]Mapa final'!$O$70),"")</f>
        <v/>
      </c>
      <c r="AA25" s="108" t="str">
        <f>IF(AND('[2]Mapa final'!$Y$71="Alta",'[2]Mapa final'!$AA$71="Moderado"),CONCATENATE("R10C",'[2]Mapa final'!$O$71),"")</f>
        <v/>
      </c>
      <c r="AB25" s="106" t="str">
        <f>IF(AND('[2]Mapa final'!$Y$66="Alta",'[2]Mapa final'!$AA$66="Mayor"),CONCATENATE("R10C",'[2]Mapa final'!$O$66),"")</f>
        <v/>
      </c>
      <c r="AC25" s="107" t="str">
        <f>IF(AND('[2]Mapa final'!$Y$67="Alta",'[2]Mapa final'!$AA$67="Mayor"),CONCATENATE("R10C",'[2]Mapa final'!$O$67),"")</f>
        <v/>
      </c>
      <c r="AD25" s="107" t="str">
        <f>IF(AND('[2]Mapa final'!$Y$68="Alta",'[2]Mapa final'!$AA$68="Mayor"),CONCATENATE("R10C",'[2]Mapa final'!$O$68),"")</f>
        <v/>
      </c>
      <c r="AE25" s="107" t="str">
        <f>IF(AND('[2]Mapa final'!$Y$69="Alta",'[2]Mapa final'!$AA$69="Mayor"),CONCATENATE("R10C",'[2]Mapa final'!$O$69),"")</f>
        <v/>
      </c>
      <c r="AF25" s="107" t="str">
        <f>IF(AND('[2]Mapa final'!$Y$70="Alta",'[2]Mapa final'!$AA$70="Mayor"),CONCATENATE("R10C",'[2]Mapa final'!$O$70),"")</f>
        <v/>
      </c>
      <c r="AG25" s="108" t="str">
        <f>IF(AND('[2]Mapa final'!$Y$71="Alta",'[2]Mapa final'!$AA$71="Mayor"),CONCATENATE("R10C",'[2]Mapa final'!$O$71),"")</f>
        <v/>
      </c>
      <c r="AH25" s="109" t="str">
        <f>IF(AND('[2]Mapa final'!$Y$66="Alta",'[2]Mapa final'!$AA$66="Catastrófico"),CONCATENATE("R10C",'[2]Mapa final'!$O$66),"")</f>
        <v/>
      </c>
      <c r="AI25" s="110" t="str">
        <f>IF(AND('[2]Mapa final'!$Y$67="Alta",'[2]Mapa final'!$AA$67="Catastrófico"),CONCATENATE("R10C",'[2]Mapa final'!$O$67),"")</f>
        <v/>
      </c>
      <c r="AJ25" s="110" t="str">
        <f>IF(AND('[2]Mapa final'!$Y$68="Alta",'[2]Mapa final'!$AA$68="Catastrófico"),CONCATENATE("R10C",'[2]Mapa final'!$O$68),"")</f>
        <v/>
      </c>
      <c r="AK25" s="110" t="str">
        <f>IF(AND('[2]Mapa final'!$Y$69="Alta",'[2]Mapa final'!$AA$69="Catastrófico"),CONCATENATE("R10C",'[2]Mapa final'!$O$69),"")</f>
        <v/>
      </c>
      <c r="AL25" s="110" t="str">
        <f>IF(AND('[2]Mapa final'!$Y$70="Alta",'[2]Mapa final'!$AA$70="Catastrófico"),CONCATENATE("R10C",'[2]Mapa final'!$O$70),"")</f>
        <v/>
      </c>
      <c r="AM25" s="111" t="str">
        <f>IF(AND('[2]Mapa final'!$Y$71="Alta",'[2]Mapa final'!$AA$71="Catastrófico"),CONCATENATE("R10C",'[2]Mapa final'!$O$71),"")</f>
        <v/>
      </c>
      <c r="AN25" s="92"/>
      <c r="AO25" s="447"/>
      <c r="AP25" s="448"/>
      <c r="AQ25" s="448"/>
      <c r="AR25" s="448"/>
      <c r="AS25" s="448"/>
      <c r="AT25" s="449"/>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row>
    <row r="26" spans="1:76" ht="15" customHeight="1">
      <c r="A26" s="92"/>
      <c r="B26" s="417"/>
      <c r="C26" s="417"/>
      <c r="D26" s="418"/>
      <c r="E26" s="419" t="s">
        <v>523</v>
      </c>
      <c r="F26" s="420"/>
      <c r="G26" s="420"/>
      <c r="H26" s="420"/>
      <c r="I26" s="421"/>
      <c r="J26" s="112" t="str">
        <f>IF(AND('[2]Mapa final'!$Y$12="Media",'[2]Mapa final'!$AA$12="Leve"),CONCATENATE("R1C",'[2]Mapa final'!$O$12),"")</f>
        <v/>
      </c>
      <c r="K26" s="113" t="str">
        <f>IF(AND('[2]Mapa final'!$Y$13="Media",'[2]Mapa final'!$AA$13="Leve"),CONCATENATE("R1C",'[2]Mapa final'!$O$13),"")</f>
        <v/>
      </c>
      <c r="L26" s="113" t="str">
        <f>IF(AND('[2]Mapa final'!$Y$14="Media",'[2]Mapa final'!$AA$14="Leve"),CONCATENATE("R1C",'[2]Mapa final'!$O$14),"")</f>
        <v/>
      </c>
      <c r="M26" s="113" t="str">
        <f>IF(AND('[2]Mapa final'!$Y$15="Media",'[2]Mapa final'!$AA$15="Leve"),CONCATENATE("R1C",'[2]Mapa final'!$O$15),"")</f>
        <v/>
      </c>
      <c r="N26" s="113" t="str">
        <f>IF(AND('[2]Mapa final'!$Y$16="Media",'[2]Mapa final'!$AA$16="Leve"),CONCATENATE("R1C",'[2]Mapa final'!$O$16),"")</f>
        <v/>
      </c>
      <c r="O26" s="114" t="str">
        <f>IF(AND('[2]Mapa final'!$Y$17="Media",'[2]Mapa final'!$AA$17="Leve"),CONCATENATE("R1C",'[2]Mapa final'!$O$17),"")</f>
        <v/>
      </c>
      <c r="P26" s="112" t="str">
        <f>IF(AND('[2]Mapa final'!$Y$12="Media",'[2]Mapa final'!$AA$12="Menor"),CONCATENATE("R1C",'[2]Mapa final'!$O$12),"")</f>
        <v/>
      </c>
      <c r="Q26" s="113" t="str">
        <f>IF(AND('[2]Mapa final'!$Y$13="Media",'[2]Mapa final'!$AA$13="Menor"),CONCATENATE("R1C",'[2]Mapa final'!$O$13),"")</f>
        <v/>
      </c>
      <c r="R26" s="113" t="str">
        <f>IF(AND('[2]Mapa final'!$Y$14="Media",'[2]Mapa final'!$AA$14="Menor"),CONCATENATE("R1C",'[2]Mapa final'!$O$14),"")</f>
        <v/>
      </c>
      <c r="S26" s="113" t="str">
        <f>IF(AND('[2]Mapa final'!$Y$15="Media",'[2]Mapa final'!$AA$15="Menor"),CONCATENATE("R1C",'[2]Mapa final'!$O$15),"")</f>
        <v/>
      </c>
      <c r="T26" s="113" t="str">
        <f>IF(AND('[2]Mapa final'!$Y$16="Media",'[2]Mapa final'!$AA$16="Menor"),CONCATENATE("R1C",'[2]Mapa final'!$O$16),"")</f>
        <v/>
      </c>
      <c r="U26" s="114" t="str">
        <f>IF(AND('[2]Mapa final'!$Y$17="Media",'[2]Mapa final'!$AA$17="Menor"),CONCATENATE("R1C",'[2]Mapa final'!$O$17),"")</f>
        <v/>
      </c>
      <c r="V26" s="112" t="str">
        <f>IF(AND('[2]Mapa final'!$Y$12="Media",'[2]Mapa final'!$AA$12="Moderado"),CONCATENATE("R1C",'[2]Mapa final'!$O$12),"")</f>
        <v/>
      </c>
      <c r="W26" s="113" t="str">
        <f>IF(AND('[2]Mapa final'!$Y$13="Media",'[2]Mapa final'!$AA$13="Moderado"),CONCATENATE("R1C",'[2]Mapa final'!$O$13),"")</f>
        <v/>
      </c>
      <c r="X26" s="113" t="str">
        <f>IF(AND('[2]Mapa final'!$Y$14="Media",'[2]Mapa final'!$AA$14="Moderado"),CONCATENATE("R1C",'[2]Mapa final'!$O$14),"")</f>
        <v/>
      </c>
      <c r="Y26" s="113" t="str">
        <f>IF(AND('[2]Mapa final'!$Y$15="Media",'[2]Mapa final'!$AA$15="Moderado"),CONCATENATE("R1C",'[2]Mapa final'!$O$15),"")</f>
        <v/>
      </c>
      <c r="Z26" s="113" t="str">
        <f>IF(AND('[2]Mapa final'!$Y$16="Media",'[2]Mapa final'!$AA$16="Moderado"),CONCATENATE("R1C",'[2]Mapa final'!$O$16),"")</f>
        <v/>
      </c>
      <c r="AA26" s="114" t="str">
        <f>IF(AND('[2]Mapa final'!$Y$17="Media",'[2]Mapa final'!$AA$17="Moderado"),CONCATENATE("R1C",'[2]Mapa final'!$O$17),"")</f>
        <v/>
      </c>
      <c r="AB26" s="94" t="str">
        <f>IF(AND('[2]Mapa final'!$Y$12="Media",'[2]Mapa final'!$AA$12="Mayor"),CONCATENATE("R1C",'[2]Mapa final'!$O$12),"")</f>
        <v/>
      </c>
      <c r="AC26" s="95" t="str">
        <f>IF(AND('[2]Mapa final'!$Y$13="Media",'[2]Mapa final'!$AA$13="Mayor"),CONCATENATE("R1C",'[2]Mapa final'!$O$13),"")</f>
        <v/>
      </c>
      <c r="AD26" s="95" t="str">
        <f>IF(AND('[2]Mapa final'!$Y$14="Media",'[2]Mapa final'!$AA$14="Mayor"),CONCATENATE("R1C",'[2]Mapa final'!$O$14),"")</f>
        <v/>
      </c>
      <c r="AE26" s="95" t="str">
        <f>IF(AND('[2]Mapa final'!$Y$15="Media",'[2]Mapa final'!$AA$15="Mayor"),CONCATENATE("R1C",'[2]Mapa final'!$O$15),"")</f>
        <v/>
      </c>
      <c r="AF26" s="95" t="str">
        <f>IF(AND('[2]Mapa final'!$Y$16="Media",'[2]Mapa final'!$AA$16="Mayor"),CONCATENATE("R1C",'[2]Mapa final'!$O$16),"")</f>
        <v/>
      </c>
      <c r="AG26" s="96" t="str">
        <f>IF(AND('[2]Mapa final'!$Y$17="Media",'[2]Mapa final'!$AA$17="Mayor"),CONCATENATE("R1C",'[2]Mapa final'!$O$17),"")</f>
        <v/>
      </c>
      <c r="AH26" s="97" t="str">
        <f>IF(AND('[2]Mapa final'!$Y$12="Media",'[2]Mapa final'!$AA$12="Catastrófico"),CONCATENATE("R1C",'[2]Mapa final'!$O$12),"")</f>
        <v/>
      </c>
      <c r="AI26" s="98" t="str">
        <f>IF(AND('[2]Mapa final'!$Y$13="Media",'[2]Mapa final'!$AA$13="Catastrófico"),CONCATENATE("R1C",'[2]Mapa final'!$O$13),"")</f>
        <v/>
      </c>
      <c r="AJ26" s="98" t="str">
        <f>IF(AND('[2]Mapa final'!$Y$14="Media",'[2]Mapa final'!$AA$14="Catastrófico"),CONCATENATE("R1C",'[2]Mapa final'!$O$14),"")</f>
        <v/>
      </c>
      <c r="AK26" s="98" t="str">
        <f>IF(AND('[2]Mapa final'!$Y$15="Media",'[2]Mapa final'!$AA$15="Catastrófico"),CONCATENATE("R1C",'[2]Mapa final'!$O$15),"")</f>
        <v/>
      </c>
      <c r="AL26" s="98" t="str">
        <f>IF(AND('[2]Mapa final'!$Y$16="Media",'[2]Mapa final'!$AA$16="Catastrófico"),CONCATENATE("R1C",'[2]Mapa final'!$O$16),"")</f>
        <v/>
      </c>
      <c r="AM26" s="99" t="str">
        <f>IF(AND('[2]Mapa final'!$Y$17="Media",'[2]Mapa final'!$AA$17="Catastrófico"),CONCATENATE("R1C",'[2]Mapa final'!$O$17),"")</f>
        <v/>
      </c>
      <c r="AN26" s="92"/>
      <c r="AO26" s="450" t="s">
        <v>524</v>
      </c>
      <c r="AP26" s="451"/>
      <c r="AQ26" s="451"/>
      <c r="AR26" s="451"/>
      <c r="AS26" s="451"/>
      <c r="AT26" s="45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row>
    <row r="27" spans="1:76" ht="15" customHeight="1">
      <c r="A27" s="92"/>
      <c r="B27" s="417"/>
      <c r="C27" s="417"/>
      <c r="D27" s="418"/>
      <c r="E27" s="440"/>
      <c r="F27" s="423"/>
      <c r="G27" s="423"/>
      <c r="H27" s="423"/>
      <c r="I27" s="424"/>
      <c r="J27" s="115" t="str">
        <f>IF(AND('[2]Mapa final'!$Y$18="Media",'[2]Mapa final'!$AA$18="Leve"),CONCATENATE("R2C",'[2]Mapa final'!$O$18),"")</f>
        <v/>
      </c>
      <c r="K27" s="116" t="str">
        <f>IF(AND('[2]Mapa final'!$Y$19="Media",'[2]Mapa final'!$AA$19="Leve"),CONCATENATE("R2C",'[2]Mapa final'!$O$19),"")</f>
        <v/>
      </c>
      <c r="L27" s="116" t="str">
        <f>IF(AND('[2]Mapa final'!$Y$20="Media",'[2]Mapa final'!$AA$20="Leve"),CONCATENATE("R2C",'[2]Mapa final'!$O$20),"")</f>
        <v/>
      </c>
      <c r="M27" s="116" t="str">
        <f>IF(AND('[2]Mapa final'!$Y$21="Media",'[2]Mapa final'!$AA$21="Leve"),CONCATENATE("R2C",'[2]Mapa final'!$O$21),"")</f>
        <v/>
      </c>
      <c r="N27" s="116" t="str">
        <f>IF(AND('[2]Mapa final'!$Y$22="Media",'[2]Mapa final'!$AA$22="Leve"),CONCATENATE("R2C",'[2]Mapa final'!$O$22),"")</f>
        <v/>
      </c>
      <c r="O27" s="117" t="str">
        <f>IF(AND('[2]Mapa final'!$Y$23="Media",'[2]Mapa final'!$AA$23="Leve"),CONCATENATE("R2C",'[2]Mapa final'!$O$23),"")</f>
        <v/>
      </c>
      <c r="P27" s="115" t="str">
        <f>IF(AND('[2]Mapa final'!$Y$18="Media",'[2]Mapa final'!$AA$18="Menor"),CONCATENATE("R2C",'[2]Mapa final'!$O$18),"")</f>
        <v/>
      </c>
      <c r="Q27" s="116" t="str">
        <f>IF(AND('[2]Mapa final'!$Y$19="Media",'[2]Mapa final'!$AA$19="Menor"),CONCATENATE("R2C",'[2]Mapa final'!$O$19),"")</f>
        <v/>
      </c>
      <c r="R27" s="116" t="str">
        <f>IF(AND('[2]Mapa final'!$Y$20="Media",'[2]Mapa final'!$AA$20="Menor"),CONCATENATE("R2C",'[2]Mapa final'!$O$20),"")</f>
        <v/>
      </c>
      <c r="S27" s="116" t="str">
        <f>IF(AND('[2]Mapa final'!$Y$21="Media",'[2]Mapa final'!$AA$21="Menor"),CONCATENATE("R2C",'[2]Mapa final'!$O$21),"")</f>
        <v/>
      </c>
      <c r="T27" s="116" t="str">
        <f>IF(AND('[2]Mapa final'!$Y$22="Media",'[2]Mapa final'!$AA$22="Menor"),CONCATENATE("R2C",'[2]Mapa final'!$O$22),"")</f>
        <v/>
      </c>
      <c r="U27" s="117" t="str">
        <f>IF(AND('[2]Mapa final'!$Y$23="Media",'[2]Mapa final'!$AA$23="Menor"),CONCATENATE("R2C",'[2]Mapa final'!$O$23),"")</f>
        <v/>
      </c>
      <c r="V27" s="115" t="str">
        <f>IF(AND('[2]Mapa final'!$Y$18="Media",'[2]Mapa final'!$AA$18="Moderado"),CONCATENATE("R2C",'[2]Mapa final'!$O$18),"")</f>
        <v/>
      </c>
      <c r="W27" s="116" t="str">
        <f>IF(AND('[2]Mapa final'!$Y$19="Media",'[2]Mapa final'!$AA$19="Moderado"),CONCATENATE("R2C",'[2]Mapa final'!$O$19),"")</f>
        <v/>
      </c>
      <c r="X27" s="116" t="str">
        <f>IF(AND('[2]Mapa final'!$Y$20="Media",'[2]Mapa final'!$AA$20="Moderado"),CONCATENATE("R2C",'[2]Mapa final'!$O$20),"")</f>
        <v/>
      </c>
      <c r="Y27" s="116" t="str">
        <f>IF(AND('[2]Mapa final'!$Y$21="Media",'[2]Mapa final'!$AA$21="Moderado"),CONCATENATE("R2C",'[2]Mapa final'!$O$21),"")</f>
        <v/>
      </c>
      <c r="Z27" s="116" t="str">
        <f>IF(AND('[2]Mapa final'!$Y$22="Media",'[2]Mapa final'!$AA$22="Moderado"),CONCATENATE("R2C",'[2]Mapa final'!$O$22),"")</f>
        <v/>
      </c>
      <c r="AA27" s="117" t="str">
        <f>IF(AND('[2]Mapa final'!$Y$23="Media",'[2]Mapa final'!$AA$23="Moderado"),CONCATENATE("R2C",'[2]Mapa final'!$O$23),"")</f>
        <v/>
      </c>
      <c r="AB27" s="100" t="str">
        <f>IF(AND('[2]Mapa final'!$Y$18="Media",'[2]Mapa final'!$AA$18="Mayor"),CONCATENATE("R2C",'[2]Mapa final'!$O$18),"")</f>
        <v/>
      </c>
      <c r="AC27" s="101" t="str">
        <f>IF(AND('[2]Mapa final'!$Y$19="Media",'[2]Mapa final'!$AA$19="Mayor"),CONCATENATE("R2C",'[2]Mapa final'!$O$19),"")</f>
        <v/>
      </c>
      <c r="AD27" s="101" t="str">
        <f>IF(AND('[2]Mapa final'!$Y$20="Media",'[2]Mapa final'!$AA$20="Mayor"),CONCATENATE("R2C",'[2]Mapa final'!$O$20),"")</f>
        <v/>
      </c>
      <c r="AE27" s="101" t="str">
        <f>IF(AND('[2]Mapa final'!$Y$21="Media",'[2]Mapa final'!$AA$21="Mayor"),CONCATENATE("R2C",'[2]Mapa final'!$O$21),"")</f>
        <v/>
      </c>
      <c r="AF27" s="101" t="str">
        <f>IF(AND('[2]Mapa final'!$Y$22="Media",'[2]Mapa final'!$AA$22="Mayor"),CONCATENATE("R2C",'[2]Mapa final'!$O$22),"")</f>
        <v/>
      </c>
      <c r="AG27" s="102" t="str">
        <f>IF(AND('[2]Mapa final'!$Y$23="Media",'[2]Mapa final'!$AA$23="Mayor"),CONCATENATE("R2C",'[2]Mapa final'!$O$23),"")</f>
        <v/>
      </c>
      <c r="AH27" s="103" t="str">
        <f>IF(AND('[2]Mapa final'!$Y$18="Media",'[2]Mapa final'!$AA$18="Catastrófico"),CONCATENATE("R2C",'[2]Mapa final'!$O$18),"")</f>
        <v/>
      </c>
      <c r="AI27" s="104" t="str">
        <f>IF(AND('[2]Mapa final'!$Y$19="Media",'[2]Mapa final'!$AA$19="Catastrófico"),CONCATENATE("R2C",'[2]Mapa final'!$O$19),"")</f>
        <v/>
      </c>
      <c r="AJ27" s="104" t="str">
        <f>IF(AND('[2]Mapa final'!$Y$20="Media",'[2]Mapa final'!$AA$20="Catastrófico"),CONCATENATE("R2C",'[2]Mapa final'!$O$20),"")</f>
        <v/>
      </c>
      <c r="AK27" s="104" t="str">
        <f>IF(AND('[2]Mapa final'!$Y$21="Media",'[2]Mapa final'!$AA$21="Catastrófico"),CONCATENATE("R2C",'[2]Mapa final'!$O$21),"")</f>
        <v/>
      </c>
      <c r="AL27" s="104" t="str">
        <f>IF(AND('[2]Mapa final'!$Y$22="Media",'[2]Mapa final'!$AA$22="Catastrófico"),CONCATENATE("R2C",'[2]Mapa final'!$O$22),"")</f>
        <v/>
      </c>
      <c r="AM27" s="105" t="str">
        <f>IF(AND('[2]Mapa final'!$Y$23="Media",'[2]Mapa final'!$AA$23="Catastrófico"),CONCATENATE("R2C",'[2]Mapa final'!$O$23),"")</f>
        <v/>
      </c>
      <c r="AN27" s="92"/>
      <c r="AO27" s="453"/>
      <c r="AP27" s="454"/>
      <c r="AQ27" s="454"/>
      <c r="AR27" s="454"/>
      <c r="AS27" s="454"/>
      <c r="AT27" s="455"/>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row>
    <row r="28" spans="1:76" ht="15" customHeight="1">
      <c r="A28" s="92"/>
      <c r="B28" s="417"/>
      <c r="C28" s="417"/>
      <c r="D28" s="418"/>
      <c r="E28" s="422"/>
      <c r="F28" s="423"/>
      <c r="G28" s="423"/>
      <c r="H28" s="423"/>
      <c r="I28" s="424"/>
      <c r="J28" s="115" t="str">
        <f>IF(AND('[2]Mapa final'!$Y$24="Media",'[2]Mapa final'!$AA$24="Leve"),CONCATENATE("R3C",'[2]Mapa final'!$O$24),"")</f>
        <v/>
      </c>
      <c r="K28" s="116" t="str">
        <f>IF(AND('[2]Mapa final'!$Y$25="Media",'[2]Mapa final'!$AA$25="Leve"),CONCATENATE("R3C",'[2]Mapa final'!$O$25),"")</f>
        <v/>
      </c>
      <c r="L28" s="116" t="str">
        <f>IF(AND('[2]Mapa final'!$Y$26="Media",'[2]Mapa final'!$AA$26="Leve"),CONCATENATE("R3C",'[2]Mapa final'!$O$26),"")</f>
        <v/>
      </c>
      <c r="M28" s="116" t="str">
        <f>IF(AND('[2]Mapa final'!$Y$27="Media",'[2]Mapa final'!$AA$27="Leve"),CONCATENATE("R3C",'[2]Mapa final'!$O$27),"")</f>
        <v/>
      </c>
      <c r="N28" s="116" t="str">
        <f>IF(AND('[2]Mapa final'!$Y$28="Media",'[2]Mapa final'!$AA$28="Leve"),CONCATENATE("R3C",'[2]Mapa final'!$O$28),"")</f>
        <v/>
      </c>
      <c r="O28" s="117" t="str">
        <f>IF(AND('[2]Mapa final'!$Y$29="Media",'[2]Mapa final'!$AA$29="Leve"),CONCATENATE("R3C",'[2]Mapa final'!$O$29),"")</f>
        <v/>
      </c>
      <c r="P28" s="115" t="str">
        <f>IF(AND('[2]Mapa final'!$Y$24="Media",'[2]Mapa final'!$AA$24="Menor"),CONCATENATE("R3C",'[2]Mapa final'!$O$24),"")</f>
        <v/>
      </c>
      <c r="Q28" s="116" t="str">
        <f>IF(AND('[2]Mapa final'!$Y$25="Media",'[2]Mapa final'!$AA$25="Menor"),CONCATENATE("R3C",'[2]Mapa final'!$O$25),"")</f>
        <v/>
      </c>
      <c r="R28" s="116" t="str">
        <f>IF(AND('[2]Mapa final'!$Y$26="Media",'[2]Mapa final'!$AA$26="Menor"),CONCATENATE("R3C",'[2]Mapa final'!$O$26),"")</f>
        <v/>
      </c>
      <c r="S28" s="116" t="str">
        <f>IF(AND('[2]Mapa final'!$Y$27="Media",'[2]Mapa final'!$AA$27="Menor"),CONCATENATE("R3C",'[2]Mapa final'!$O$27),"")</f>
        <v/>
      </c>
      <c r="T28" s="116" t="str">
        <f>IF(AND('[2]Mapa final'!$Y$28="Media",'[2]Mapa final'!$AA$28="Menor"),CONCATENATE("R3C",'[2]Mapa final'!$O$28),"")</f>
        <v/>
      </c>
      <c r="U28" s="117" t="str">
        <f>IF(AND('[2]Mapa final'!$Y$29="Media",'[2]Mapa final'!$AA$29="Menor"),CONCATENATE("R3C",'[2]Mapa final'!$O$29),"")</f>
        <v/>
      </c>
      <c r="V28" s="115" t="str">
        <f>IF(AND('[2]Mapa final'!$Y$24="Media",'[2]Mapa final'!$AA$24="Moderado"),CONCATENATE("R3C",'[2]Mapa final'!$O$24),"")</f>
        <v/>
      </c>
      <c r="W28" s="116" t="str">
        <f>IF(AND('[2]Mapa final'!$Y$25="Media",'[2]Mapa final'!$AA$25="Moderado"),CONCATENATE("R3C",'[2]Mapa final'!$O$25),"")</f>
        <v/>
      </c>
      <c r="X28" s="116" t="str">
        <f>IF(AND('[2]Mapa final'!$Y$26="Media",'[2]Mapa final'!$AA$26="Moderado"),CONCATENATE("R3C",'[2]Mapa final'!$O$26),"")</f>
        <v/>
      </c>
      <c r="Y28" s="116" t="str">
        <f>IF(AND('[2]Mapa final'!$Y$27="Media",'[2]Mapa final'!$AA$27="Moderado"),CONCATENATE("R3C",'[2]Mapa final'!$O$27),"")</f>
        <v/>
      </c>
      <c r="Z28" s="116" t="str">
        <f>IF(AND('[2]Mapa final'!$Y$28="Media",'[2]Mapa final'!$AA$28="Moderado"),CONCATENATE("R3C",'[2]Mapa final'!$O$28),"")</f>
        <v/>
      </c>
      <c r="AA28" s="117" t="str">
        <f>IF(AND('[2]Mapa final'!$Y$29="Media",'[2]Mapa final'!$AA$29="Moderado"),CONCATENATE("R3C",'[2]Mapa final'!$O$29),"")</f>
        <v/>
      </c>
      <c r="AB28" s="100" t="str">
        <f>IF(AND('[2]Mapa final'!$Y$24="Media",'[2]Mapa final'!$AA$24="Mayor"),CONCATENATE("R3C",'[2]Mapa final'!$O$24),"")</f>
        <v/>
      </c>
      <c r="AC28" s="101" t="str">
        <f>IF(AND('[2]Mapa final'!$Y$25="Media",'[2]Mapa final'!$AA$25="Mayor"),CONCATENATE("R3C",'[2]Mapa final'!$O$25),"")</f>
        <v/>
      </c>
      <c r="AD28" s="101" t="str">
        <f>IF(AND('[2]Mapa final'!$Y$26="Media",'[2]Mapa final'!$AA$26="Mayor"),CONCATENATE("R3C",'[2]Mapa final'!$O$26),"")</f>
        <v/>
      </c>
      <c r="AE28" s="101" t="str">
        <f>IF(AND('[2]Mapa final'!$Y$27="Media",'[2]Mapa final'!$AA$27="Mayor"),CONCATENATE("R3C",'[2]Mapa final'!$O$27),"")</f>
        <v/>
      </c>
      <c r="AF28" s="101" t="str">
        <f>IF(AND('[2]Mapa final'!$Y$28="Media",'[2]Mapa final'!$AA$28="Mayor"),CONCATENATE("R3C",'[2]Mapa final'!$O$28),"")</f>
        <v/>
      </c>
      <c r="AG28" s="102" t="str">
        <f>IF(AND('[2]Mapa final'!$Y$29="Media",'[2]Mapa final'!$AA$29="Mayor"),CONCATENATE("R3C",'[2]Mapa final'!$O$29),"")</f>
        <v/>
      </c>
      <c r="AH28" s="103" t="str">
        <f>IF(AND('[2]Mapa final'!$Y$24="Media",'[2]Mapa final'!$AA$24="Catastrófico"),CONCATENATE("R3C",'[2]Mapa final'!$O$24),"")</f>
        <v/>
      </c>
      <c r="AI28" s="104" t="str">
        <f>IF(AND('[2]Mapa final'!$Y$25="Media",'[2]Mapa final'!$AA$25="Catastrófico"),CONCATENATE("R3C",'[2]Mapa final'!$O$25),"")</f>
        <v/>
      </c>
      <c r="AJ28" s="104" t="str">
        <f>IF(AND('[2]Mapa final'!$Y$26="Media",'[2]Mapa final'!$AA$26="Catastrófico"),CONCATENATE("R3C",'[2]Mapa final'!$O$26),"")</f>
        <v/>
      </c>
      <c r="AK28" s="104" t="str">
        <f>IF(AND('[2]Mapa final'!$Y$27="Media",'[2]Mapa final'!$AA$27="Catastrófico"),CONCATENATE("R3C",'[2]Mapa final'!$O$27),"")</f>
        <v/>
      </c>
      <c r="AL28" s="104" t="str">
        <f>IF(AND('[2]Mapa final'!$Y$28="Media",'[2]Mapa final'!$AA$28="Catastrófico"),CONCATENATE("R3C",'[2]Mapa final'!$O$28),"")</f>
        <v/>
      </c>
      <c r="AM28" s="105" t="str">
        <f>IF(AND('[2]Mapa final'!$Y$29="Media",'[2]Mapa final'!$AA$29="Catastrófico"),CONCATENATE("R3C",'[2]Mapa final'!$O$29),"")</f>
        <v/>
      </c>
      <c r="AN28" s="92"/>
      <c r="AO28" s="453"/>
      <c r="AP28" s="454"/>
      <c r="AQ28" s="454"/>
      <c r="AR28" s="454"/>
      <c r="AS28" s="454"/>
      <c r="AT28" s="455"/>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row>
    <row r="29" spans="1:76" ht="15" customHeight="1">
      <c r="A29" s="92"/>
      <c r="B29" s="417"/>
      <c r="C29" s="417"/>
      <c r="D29" s="418"/>
      <c r="E29" s="422"/>
      <c r="F29" s="423"/>
      <c r="G29" s="423"/>
      <c r="H29" s="423"/>
      <c r="I29" s="424"/>
      <c r="J29" s="115" t="e">
        <f>IF(AND('[2]Mapa final'!$Y$30="Media",'[2]Mapa final'!$AA$30="Leve"),CONCATENATE("R4C",'[2]Mapa final'!$O$30),"")</f>
        <v>#REF!</v>
      </c>
      <c r="K29" s="116" t="str">
        <f>IF(AND('[2]Mapa final'!$Y$31="Media",'[2]Mapa final'!$AA$31="Leve"),CONCATENATE("R4C",'[2]Mapa final'!$O$31),"")</f>
        <v/>
      </c>
      <c r="L29" s="116" t="str">
        <f>IF(AND('[2]Mapa final'!$Y$32="Media",'[2]Mapa final'!$AA$32="Leve"),CONCATENATE("R4C",'[2]Mapa final'!$O$32),"")</f>
        <v/>
      </c>
      <c r="M29" s="116" t="str">
        <f>IF(AND('[2]Mapa final'!$Y$33="Media",'[2]Mapa final'!$AA$33="Leve"),CONCATENATE("R4C",'[2]Mapa final'!$O$33),"")</f>
        <v/>
      </c>
      <c r="N29" s="116" t="str">
        <f>IF(AND('[2]Mapa final'!$Y$34="Media",'[2]Mapa final'!$AA$34="Leve"),CONCATENATE("R4C",'[2]Mapa final'!$O$34),"")</f>
        <v/>
      </c>
      <c r="O29" s="117" t="str">
        <f>IF(AND('[2]Mapa final'!$Y$35="Media",'[2]Mapa final'!$AA$35="Leve"),CONCATENATE("R4C",'[2]Mapa final'!$O$35),"")</f>
        <v/>
      </c>
      <c r="P29" s="115" t="e">
        <f>IF(AND('[2]Mapa final'!$Y$30="Media",'[2]Mapa final'!$AA$30="Menor"),CONCATENATE("R4C",'[2]Mapa final'!$O$30),"")</f>
        <v>#REF!</v>
      </c>
      <c r="Q29" s="116" t="str">
        <f>IF(AND('[2]Mapa final'!$Y$31="Media",'[2]Mapa final'!$AA$31="Menor"),CONCATENATE("R4C",'[2]Mapa final'!$O$31),"")</f>
        <v/>
      </c>
      <c r="R29" s="116" t="str">
        <f>IF(AND('[2]Mapa final'!$Y$32="Media",'[2]Mapa final'!$AA$32="Menor"),CONCATENATE("R4C",'[2]Mapa final'!$O$32),"")</f>
        <v/>
      </c>
      <c r="S29" s="116" t="str">
        <f>IF(AND('[2]Mapa final'!$Y$33="Media",'[2]Mapa final'!$AA$33="Menor"),CONCATENATE("R4C",'[2]Mapa final'!$O$33),"")</f>
        <v/>
      </c>
      <c r="T29" s="116" t="str">
        <f>IF(AND('[2]Mapa final'!$Y$34="Media",'[2]Mapa final'!$AA$34="Menor"),CONCATENATE("R4C",'[2]Mapa final'!$O$34),"")</f>
        <v/>
      </c>
      <c r="U29" s="117" t="str">
        <f>IF(AND('[2]Mapa final'!$Y$35="Media",'[2]Mapa final'!$AA$35="Menor"),CONCATENATE("R4C",'[2]Mapa final'!$O$35),"")</f>
        <v/>
      </c>
      <c r="V29" s="115" t="e">
        <f>IF(AND('[2]Mapa final'!$Y$30="Media",'[2]Mapa final'!$AA$30="Moderado"),CONCATENATE("R4C",'[2]Mapa final'!$O$30),"")</f>
        <v>#REF!</v>
      </c>
      <c r="W29" s="116" t="str">
        <f>IF(AND('[2]Mapa final'!$Y$31="Media",'[2]Mapa final'!$AA$31="Moderado"),CONCATENATE("R4C",'[2]Mapa final'!$O$31),"")</f>
        <v/>
      </c>
      <c r="X29" s="116" t="str">
        <f>IF(AND('[2]Mapa final'!$Y$32="Media",'[2]Mapa final'!$AA$32="Moderado"),CONCATENATE("R4C",'[2]Mapa final'!$O$32),"")</f>
        <v/>
      </c>
      <c r="Y29" s="116" t="str">
        <f>IF(AND('[2]Mapa final'!$Y$33="Media",'[2]Mapa final'!$AA$33="Moderado"),CONCATENATE("R4C",'[2]Mapa final'!$O$33),"")</f>
        <v/>
      </c>
      <c r="Z29" s="116" t="str">
        <f>IF(AND('[2]Mapa final'!$Y$34="Media",'[2]Mapa final'!$AA$34="Moderado"),CONCATENATE("R4C",'[2]Mapa final'!$O$34),"")</f>
        <v/>
      </c>
      <c r="AA29" s="117" t="str">
        <f>IF(AND('[2]Mapa final'!$Y$35="Media",'[2]Mapa final'!$AA$35="Moderado"),CONCATENATE("R4C",'[2]Mapa final'!$O$35),"")</f>
        <v/>
      </c>
      <c r="AB29" s="100" t="e">
        <f>IF(AND('[2]Mapa final'!$Y$30="Media",'[2]Mapa final'!$AA$30="Mayor"),CONCATENATE("R4C",'[2]Mapa final'!$O$30),"")</f>
        <v>#REF!</v>
      </c>
      <c r="AC29" s="101" t="str">
        <f>IF(AND('[2]Mapa final'!$Y$31="Media",'[2]Mapa final'!$AA$31="Mayor"),CONCATENATE("R4C",'[2]Mapa final'!$O$31),"")</f>
        <v/>
      </c>
      <c r="AD29" s="101" t="str">
        <f>IF(AND('[2]Mapa final'!$Y$32="Media",'[2]Mapa final'!$AA$32="Mayor"),CONCATENATE("R4C",'[2]Mapa final'!$O$32),"")</f>
        <v/>
      </c>
      <c r="AE29" s="101" t="str">
        <f>IF(AND('[2]Mapa final'!$Y$33="Media",'[2]Mapa final'!$AA$33="Mayor"),CONCATENATE("R4C",'[2]Mapa final'!$O$33),"")</f>
        <v/>
      </c>
      <c r="AF29" s="101" t="str">
        <f>IF(AND('[2]Mapa final'!$Y$34="Media",'[2]Mapa final'!$AA$34="Mayor"),CONCATENATE("R4C",'[2]Mapa final'!$O$34),"")</f>
        <v/>
      </c>
      <c r="AG29" s="102" t="str">
        <f>IF(AND('[2]Mapa final'!$Y$35="Media",'[2]Mapa final'!$AA$35="Mayor"),CONCATENATE("R4C",'[2]Mapa final'!$O$35),"")</f>
        <v/>
      </c>
      <c r="AH29" s="103" t="e">
        <f>IF(AND('[2]Mapa final'!$Y$30="Media",'[2]Mapa final'!$AA$30="Catastrófico"),CONCATENATE("R4C",'[2]Mapa final'!$O$30),"")</f>
        <v>#REF!</v>
      </c>
      <c r="AI29" s="104" t="str">
        <f>IF(AND('[2]Mapa final'!$Y$31="Media",'[2]Mapa final'!$AA$31="Catastrófico"),CONCATENATE("R4C",'[2]Mapa final'!$O$31),"")</f>
        <v/>
      </c>
      <c r="AJ29" s="104" t="str">
        <f>IF(AND('[2]Mapa final'!$Y$32="Media",'[2]Mapa final'!$AA$32="Catastrófico"),CONCATENATE("R4C",'[2]Mapa final'!$O$32),"")</f>
        <v/>
      </c>
      <c r="AK29" s="104" t="str">
        <f>IF(AND('[2]Mapa final'!$Y$33="Media",'[2]Mapa final'!$AA$33="Catastrófico"),CONCATENATE("R4C",'[2]Mapa final'!$O$33),"")</f>
        <v/>
      </c>
      <c r="AL29" s="104" t="str">
        <f>IF(AND('[2]Mapa final'!$Y$34="Media",'[2]Mapa final'!$AA$34="Catastrófico"),CONCATENATE("R4C",'[2]Mapa final'!$O$34),"")</f>
        <v/>
      </c>
      <c r="AM29" s="105" t="str">
        <f>IF(AND('[2]Mapa final'!$Y$35="Media",'[2]Mapa final'!$AA$35="Catastrófico"),CONCATENATE("R4C",'[2]Mapa final'!$O$35),"")</f>
        <v/>
      </c>
      <c r="AN29" s="92"/>
      <c r="AO29" s="453"/>
      <c r="AP29" s="454"/>
      <c r="AQ29" s="454"/>
      <c r="AR29" s="454"/>
      <c r="AS29" s="454"/>
      <c r="AT29" s="455"/>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row>
    <row r="30" spans="1:76" ht="15" customHeight="1">
      <c r="A30" s="92"/>
      <c r="B30" s="417"/>
      <c r="C30" s="417"/>
      <c r="D30" s="418"/>
      <c r="E30" s="422"/>
      <c r="F30" s="423"/>
      <c r="G30" s="423"/>
      <c r="H30" s="423"/>
      <c r="I30" s="424"/>
      <c r="J30" s="115" t="str">
        <f>IF(AND('[2]Mapa final'!$Y$36="Media",'[2]Mapa final'!$AA$36="Leve"),CONCATENATE("R5C",'[2]Mapa final'!$O$36),"")</f>
        <v/>
      </c>
      <c r="K30" s="116" t="str">
        <f>IF(AND('[2]Mapa final'!$Y$37="Media",'[2]Mapa final'!$AA$37="Leve"),CONCATENATE("R5C",'[2]Mapa final'!$O$37),"")</f>
        <v/>
      </c>
      <c r="L30" s="116" t="str">
        <f>IF(AND('[2]Mapa final'!$Y$38="Media",'[2]Mapa final'!$AA$38="Leve"),CONCATENATE("R5C",'[2]Mapa final'!$O$38),"")</f>
        <v/>
      </c>
      <c r="M30" s="116" t="str">
        <f>IF(AND('[2]Mapa final'!$Y$39="Media",'[2]Mapa final'!$AA$39="Leve"),CONCATENATE("R5C",'[2]Mapa final'!$O$39),"")</f>
        <v/>
      </c>
      <c r="N30" s="116" t="str">
        <f>IF(AND('[2]Mapa final'!$Y$40="Media",'[2]Mapa final'!$AA$40="Leve"),CONCATENATE("R5C",'[2]Mapa final'!$O$40),"")</f>
        <v/>
      </c>
      <c r="O30" s="117" t="str">
        <f>IF(AND('[2]Mapa final'!$Y$41="Media",'[2]Mapa final'!$AA$41="Leve"),CONCATENATE("R5C",'[2]Mapa final'!$O$41),"")</f>
        <v/>
      </c>
      <c r="P30" s="115" t="str">
        <f>IF(AND('[2]Mapa final'!$Y$36="Media",'[2]Mapa final'!$AA$36="Menor"),CONCATENATE("R5C",'[2]Mapa final'!$O$36),"")</f>
        <v/>
      </c>
      <c r="Q30" s="116" t="str">
        <f>IF(AND('[2]Mapa final'!$Y$37="Media",'[2]Mapa final'!$AA$37="Menor"),CONCATENATE("R5C",'[2]Mapa final'!$O$37),"")</f>
        <v/>
      </c>
      <c r="R30" s="116" t="str">
        <f>IF(AND('[2]Mapa final'!$Y$38="Media",'[2]Mapa final'!$AA$38="Menor"),CONCATENATE("R5C",'[2]Mapa final'!$O$38),"")</f>
        <v/>
      </c>
      <c r="S30" s="116" t="str">
        <f>IF(AND('[2]Mapa final'!$Y$39="Media",'[2]Mapa final'!$AA$39="Menor"),CONCATENATE("R5C",'[2]Mapa final'!$O$39),"")</f>
        <v/>
      </c>
      <c r="T30" s="116" t="str">
        <f>IF(AND('[2]Mapa final'!$Y$40="Media",'[2]Mapa final'!$AA$40="Menor"),CONCATENATE("R5C",'[2]Mapa final'!$O$40),"")</f>
        <v/>
      </c>
      <c r="U30" s="117" t="str">
        <f>IF(AND('[2]Mapa final'!$Y$41="Media",'[2]Mapa final'!$AA$41="Menor"),CONCATENATE("R5C",'[2]Mapa final'!$O$41),"")</f>
        <v/>
      </c>
      <c r="V30" s="115" t="str">
        <f>IF(AND('[2]Mapa final'!$Y$36="Media",'[2]Mapa final'!$AA$36="Moderado"),CONCATENATE("R5C",'[2]Mapa final'!$O$36),"")</f>
        <v/>
      </c>
      <c r="W30" s="116" t="str">
        <f>IF(AND('[2]Mapa final'!$Y$37="Media",'[2]Mapa final'!$AA$37="Moderado"),CONCATENATE("R5C",'[2]Mapa final'!$O$37),"")</f>
        <v/>
      </c>
      <c r="X30" s="116" t="str">
        <f>IF(AND('[2]Mapa final'!$Y$38="Media",'[2]Mapa final'!$AA$38="Moderado"),CONCATENATE("R5C",'[2]Mapa final'!$O$38),"")</f>
        <v/>
      </c>
      <c r="Y30" s="116" t="str">
        <f>IF(AND('[2]Mapa final'!$Y$39="Media",'[2]Mapa final'!$AA$39="Moderado"),CONCATENATE("R5C",'[2]Mapa final'!$O$39),"")</f>
        <v/>
      </c>
      <c r="Z30" s="116" t="str">
        <f>IF(AND('[2]Mapa final'!$Y$40="Media",'[2]Mapa final'!$AA$40="Moderado"),CONCATENATE("R5C",'[2]Mapa final'!$O$40),"")</f>
        <v/>
      </c>
      <c r="AA30" s="117" t="str">
        <f>IF(AND('[2]Mapa final'!$Y$41="Media",'[2]Mapa final'!$AA$41="Moderado"),CONCATENATE("R5C",'[2]Mapa final'!$O$41),"")</f>
        <v/>
      </c>
      <c r="AB30" s="100" t="str">
        <f>IF(AND('[2]Mapa final'!$Y$36="Media",'[2]Mapa final'!$AA$36="Mayor"),CONCATENATE("R5C",'[2]Mapa final'!$O$36),"")</f>
        <v/>
      </c>
      <c r="AC30" s="101" t="str">
        <f>IF(AND('[2]Mapa final'!$Y$37="Media",'[2]Mapa final'!$AA$37="Mayor"),CONCATENATE("R5C",'[2]Mapa final'!$O$37),"")</f>
        <v/>
      </c>
      <c r="AD30" s="101" t="str">
        <f>IF(AND('[2]Mapa final'!$Y$38="Media",'[2]Mapa final'!$AA$38="Mayor"),CONCATENATE("R5C",'[2]Mapa final'!$O$38),"")</f>
        <v/>
      </c>
      <c r="AE30" s="101" t="str">
        <f>IF(AND('[2]Mapa final'!$Y$39="Media",'[2]Mapa final'!$AA$39="Mayor"),CONCATENATE("R5C",'[2]Mapa final'!$O$39),"")</f>
        <v/>
      </c>
      <c r="AF30" s="101" t="str">
        <f>IF(AND('[2]Mapa final'!$Y$40="Media",'[2]Mapa final'!$AA$40="Mayor"),CONCATENATE("R5C",'[2]Mapa final'!$O$40),"")</f>
        <v/>
      </c>
      <c r="AG30" s="102" t="str">
        <f>IF(AND('[2]Mapa final'!$Y$41="Media",'[2]Mapa final'!$AA$41="Mayor"),CONCATENATE("R5C",'[2]Mapa final'!$O$41),"")</f>
        <v/>
      </c>
      <c r="AH30" s="103" t="str">
        <f>IF(AND('[2]Mapa final'!$Y$36="Media",'[2]Mapa final'!$AA$36="Catastrófico"),CONCATENATE("R5C",'[2]Mapa final'!$O$36),"")</f>
        <v/>
      </c>
      <c r="AI30" s="104" t="str">
        <f>IF(AND('[2]Mapa final'!$Y$37="Media",'[2]Mapa final'!$AA$37="Catastrófico"),CONCATENATE("R5C",'[2]Mapa final'!$O$37),"")</f>
        <v/>
      </c>
      <c r="AJ30" s="104" t="str">
        <f>IF(AND('[2]Mapa final'!$Y$38="Media",'[2]Mapa final'!$AA$38="Catastrófico"),CONCATENATE("R5C",'[2]Mapa final'!$O$38),"")</f>
        <v/>
      </c>
      <c r="AK30" s="104" t="str">
        <f>IF(AND('[2]Mapa final'!$Y$39="Media",'[2]Mapa final'!$AA$39="Catastrófico"),CONCATENATE("R5C",'[2]Mapa final'!$O$39),"")</f>
        <v/>
      </c>
      <c r="AL30" s="104" t="str">
        <f>IF(AND('[2]Mapa final'!$Y$40="Media",'[2]Mapa final'!$AA$40="Catastrófico"),CONCATENATE("R5C",'[2]Mapa final'!$O$40),"")</f>
        <v/>
      </c>
      <c r="AM30" s="105" t="str">
        <f>IF(AND('[2]Mapa final'!$Y$41="Media",'[2]Mapa final'!$AA$41="Catastrófico"),CONCATENATE("R5C",'[2]Mapa final'!$O$41),"")</f>
        <v/>
      </c>
      <c r="AN30" s="92"/>
      <c r="AO30" s="453"/>
      <c r="AP30" s="454"/>
      <c r="AQ30" s="454"/>
      <c r="AR30" s="454"/>
      <c r="AS30" s="454"/>
      <c r="AT30" s="455"/>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row>
    <row r="31" spans="1:76" ht="15" customHeight="1">
      <c r="A31" s="92"/>
      <c r="B31" s="417"/>
      <c r="C31" s="417"/>
      <c r="D31" s="418"/>
      <c r="E31" s="422"/>
      <c r="F31" s="423"/>
      <c r="G31" s="423"/>
      <c r="H31" s="423"/>
      <c r="I31" s="424"/>
      <c r="J31" s="115" t="str">
        <f>IF(AND('[2]Mapa final'!$Y$42="Media",'[2]Mapa final'!$AA$42="Leve"),CONCATENATE("R6C",'[2]Mapa final'!$O$42),"")</f>
        <v/>
      </c>
      <c r="K31" s="116" t="str">
        <f>IF(AND('[2]Mapa final'!$Y$43="Media",'[2]Mapa final'!$AA$43="Leve"),CONCATENATE("R6C",'[2]Mapa final'!$O$43),"")</f>
        <v/>
      </c>
      <c r="L31" s="116" t="str">
        <f>IF(AND('[2]Mapa final'!$Y$44="Media",'[2]Mapa final'!$AA$44="Leve"),CONCATENATE("R6C",'[2]Mapa final'!$O$44),"")</f>
        <v/>
      </c>
      <c r="M31" s="116" t="str">
        <f>IF(AND('[2]Mapa final'!$Y$45="Media",'[2]Mapa final'!$AA$45="Leve"),CONCATENATE("R6C",'[2]Mapa final'!$O$45),"")</f>
        <v/>
      </c>
      <c r="N31" s="116" t="str">
        <f>IF(AND('[2]Mapa final'!$Y$46="Media",'[2]Mapa final'!$AA$46="Leve"),CONCATENATE("R6C",'[2]Mapa final'!$O$46),"")</f>
        <v/>
      </c>
      <c r="O31" s="117" t="str">
        <f>IF(AND('[2]Mapa final'!$Y$47="Media",'[2]Mapa final'!$AA$47="Leve"),CONCATENATE("R6C",'[2]Mapa final'!$O$47),"")</f>
        <v/>
      </c>
      <c r="P31" s="115" t="str">
        <f>IF(AND('[2]Mapa final'!$Y$42="Media",'[2]Mapa final'!$AA$42="Menor"),CONCATENATE("R6C",'[2]Mapa final'!$O$42),"")</f>
        <v/>
      </c>
      <c r="Q31" s="116" t="str">
        <f>IF(AND('[2]Mapa final'!$Y$43="Media",'[2]Mapa final'!$AA$43="Menor"),CONCATENATE("R6C",'[2]Mapa final'!$O$43),"")</f>
        <v/>
      </c>
      <c r="R31" s="116" t="str">
        <f>IF(AND('[2]Mapa final'!$Y$44="Media",'[2]Mapa final'!$AA$44="Menor"),CONCATENATE("R6C",'[2]Mapa final'!$O$44),"")</f>
        <v/>
      </c>
      <c r="S31" s="116" t="str">
        <f>IF(AND('[2]Mapa final'!$Y$45="Media",'[2]Mapa final'!$AA$45="Menor"),CONCATENATE("R6C",'[2]Mapa final'!$O$45),"")</f>
        <v/>
      </c>
      <c r="T31" s="116" t="str">
        <f>IF(AND('[2]Mapa final'!$Y$46="Media",'[2]Mapa final'!$AA$46="Menor"),CONCATENATE("R6C",'[2]Mapa final'!$O$46),"")</f>
        <v/>
      </c>
      <c r="U31" s="117" t="str">
        <f>IF(AND('[2]Mapa final'!$Y$47="Media",'[2]Mapa final'!$AA$47="Menor"),CONCATENATE("R6C",'[2]Mapa final'!$O$47),"")</f>
        <v/>
      </c>
      <c r="V31" s="115" t="str">
        <f>IF(AND('[2]Mapa final'!$Y$42="Media",'[2]Mapa final'!$AA$42="Moderado"),CONCATENATE("R6C",'[2]Mapa final'!$O$42),"")</f>
        <v/>
      </c>
      <c r="W31" s="116" t="str">
        <f>IF(AND('[2]Mapa final'!$Y$43="Media",'[2]Mapa final'!$AA$43="Moderado"),CONCATENATE("R6C",'[2]Mapa final'!$O$43),"")</f>
        <v/>
      </c>
      <c r="X31" s="116" t="str">
        <f>IF(AND('[2]Mapa final'!$Y$44="Media",'[2]Mapa final'!$AA$44="Moderado"),CONCATENATE("R6C",'[2]Mapa final'!$O$44),"")</f>
        <v/>
      </c>
      <c r="Y31" s="116" t="str">
        <f>IF(AND('[2]Mapa final'!$Y$45="Media",'[2]Mapa final'!$AA$45="Moderado"),CONCATENATE("R6C",'[2]Mapa final'!$O$45),"")</f>
        <v/>
      </c>
      <c r="Z31" s="116" t="str">
        <f>IF(AND('[2]Mapa final'!$Y$46="Media",'[2]Mapa final'!$AA$46="Moderado"),CONCATENATE("R6C",'[2]Mapa final'!$O$46),"")</f>
        <v/>
      </c>
      <c r="AA31" s="117" t="str">
        <f>IF(AND('[2]Mapa final'!$Y$47="Media",'[2]Mapa final'!$AA$47="Moderado"),CONCATENATE("R6C",'[2]Mapa final'!$O$47),"")</f>
        <v/>
      </c>
      <c r="AB31" s="100" t="str">
        <f>IF(AND('[2]Mapa final'!$Y$42="Media",'[2]Mapa final'!$AA$42="Mayor"),CONCATENATE("R6C",'[2]Mapa final'!$O$42),"")</f>
        <v/>
      </c>
      <c r="AC31" s="101" t="str">
        <f>IF(AND('[2]Mapa final'!$Y$43="Media",'[2]Mapa final'!$AA$43="Mayor"),CONCATENATE("R6C",'[2]Mapa final'!$O$43),"")</f>
        <v/>
      </c>
      <c r="AD31" s="101" t="str">
        <f>IF(AND('[2]Mapa final'!$Y$44="Media",'[2]Mapa final'!$AA$44="Mayor"),CONCATENATE("R6C",'[2]Mapa final'!$O$44),"")</f>
        <v/>
      </c>
      <c r="AE31" s="101" t="str">
        <f>IF(AND('[2]Mapa final'!$Y$45="Media",'[2]Mapa final'!$AA$45="Mayor"),CONCATENATE("R6C",'[2]Mapa final'!$O$45),"")</f>
        <v/>
      </c>
      <c r="AF31" s="101" t="str">
        <f>IF(AND('[2]Mapa final'!$Y$46="Media",'[2]Mapa final'!$AA$46="Mayor"),CONCATENATE("R6C",'[2]Mapa final'!$O$46),"")</f>
        <v/>
      </c>
      <c r="AG31" s="102" t="str">
        <f>IF(AND('[2]Mapa final'!$Y$47="Media",'[2]Mapa final'!$AA$47="Mayor"),CONCATENATE("R6C",'[2]Mapa final'!$O$47),"")</f>
        <v/>
      </c>
      <c r="AH31" s="103" t="str">
        <f>IF(AND('[2]Mapa final'!$Y$42="Media",'[2]Mapa final'!$AA$42="Catastrófico"),CONCATENATE("R6C",'[2]Mapa final'!$O$42),"")</f>
        <v/>
      </c>
      <c r="AI31" s="104" t="str">
        <f>IF(AND('[2]Mapa final'!$Y$43="Media",'[2]Mapa final'!$AA$43="Catastrófico"),CONCATENATE("R6C",'[2]Mapa final'!$O$43),"")</f>
        <v/>
      </c>
      <c r="AJ31" s="104" t="str">
        <f>IF(AND('[2]Mapa final'!$Y$44="Media",'[2]Mapa final'!$AA$44="Catastrófico"),CONCATENATE("R6C",'[2]Mapa final'!$O$44),"")</f>
        <v/>
      </c>
      <c r="AK31" s="104" t="str">
        <f>IF(AND('[2]Mapa final'!$Y$45="Media",'[2]Mapa final'!$AA$45="Catastrófico"),CONCATENATE("R6C",'[2]Mapa final'!$O$45),"")</f>
        <v/>
      </c>
      <c r="AL31" s="104" t="str">
        <f>IF(AND('[2]Mapa final'!$Y$46="Media",'[2]Mapa final'!$AA$46="Catastrófico"),CONCATENATE("R6C",'[2]Mapa final'!$O$46),"")</f>
        <v/>
      </c>
      <c r="AM31" s="105" t="str">
        <f>IF(AND('[2]Mapa final'!$Y$47="Media",'[2]Mapa final'!$AA$47="Catastrófico"),CONCATENATE("R6C",'[2]Mapa final'!$O$47),"")</f>
        <v/>
      </c>
      <c r="AN31" s="92"/>
      <c r="AO31" s="453"/>
      <c r="AP31" s="454"/>
      <c r="AQ31" s="454"/>
      <c r="AR31" s="454"/>
      <c r="AS31" s="454"/>
      <c r="AT31" s="455"/>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row>
    <row r="32" spans="1:76" ht="15" customHeight="1">
      <c r="A32" s="92"/>
      <c r="B32" s="417"/>
      <c r="C32" s="417"/>
      <c r="D32" s="418"/>
      <c r="E32" s="422"/>
      <c r="F32" s="423"/>
      <c r="G32" s="423"/>
      <c r="H32" s="423"/>
      <c r="I32" s="424"/>
      <c r="J32" s="115" t="str">
        <f>IF(AND('[2]Mapa final'!$Y$48="Media",'[2]Mapa final'!$AA$48="Leve"),CONCATENATE("R7C",'[2]Mapa final'!$O$48),"")</f>
        <v/>
      </c>
      <c r="K32" s="116" t="str">
        <f>IF(AND('[2]Mapa final'!$Y$49="Media",'[2]Mapa final'!$AA$49="Leve"),CONCATENATE("R7C",'[2]Mapa final'!$O$49),"")</f>
        <v/>
      </c>
      <c r="L32" s="116" t="str">
        <f>IF(AND('[2]Mapa final'!$Y$50="Media",'[2]Mapa final'!$AA$50="Leve"),CONCATENATE("R7C",'[2]Mapa final'!$O$50),"")</f>
        <v/>
      </c>
      <c r="M32" s="116" t="str">
        <f>IF(AND('[2]Mapa final'!$Y$51="Media",'[2]Mapa final'!$AA$51="Leve"),CONCATENATE("R7C",'[2]Mapa final'!$O$51),"")</f>
        <v/>
      </c>
      <c r="N32" s="116" t="str">
        <f>IF(AND('[2]Mapa final'!$Y$52="Media",'[2]Mapa final'!$AA$52="Leve"),CONCATENATE("R7C",'[2]Mapa final'!$O$52),"")</f>
        <v/>
      </c>
      <c r="O32" s="117" t="str">
        <f>IF(AND('[2]Mapa final'!$Y$53="Media",'[2]Mapa final'!$AA$53="Leve"),CONCATENATE("R7C",'[2]Mapa final'!$O$53),"")</f>
        <v/>
      </c>
      <c r="P32" s="115" t="str">
        <f>IF(AND('[2]Mapa final'!$Y$48="Media",'[2]Mapa final'!$AA$48="Menor"),CONCATENATE("R7C",'[2]Mapa final'!$O$48),"")</f>
        <v/>
      </c>
      <c r="Q32" s="116" t="str">
        <f>IF(AND('[2]Mapa final'!$Y$49="Media",'[2]Mapa final'!$AA$49="Menor"),CONCATENATE("R7C",'[2]Mapa final'!$O$49),"")</f>
        <v/>
      </c>
      <c r="R32" s="116" t="str">
        <f>IF(AND('[2]Mapa final'!$Y$50="Media",'[2]Mapa final'!$AA$50="Menor"),CONCATENATE("R7C",'[2]Mapa final'!$O$50),"")</f>
        <v/>
      </c>
      <c r="S32" s="116" t="str">
        <f>IF(AND('[2]Mapa final'!$Y$51="Media",'[2]Mapa final'!$AA$51="Menor"),CONCATENATE("R7C",'[2]Mapa final'!$O$51),"")</f>
        <v/>
      </c>
      <c r="T32" s="116" t="str">
        <f>IF(AND('[2]Mapa final'!$Y$52="Media",'[2]Mapa final'!$AA$52="Menor"),CONCATENATE("R7C",'[2]Mapa final'!$O$52),"")</f>
        <v/>
      </c>
      <c r="U32" s="117" t="str">
        <f>IF(AND('[2]Mapa final'!$Y$53="Media",'[2]Mapa final'!$AA$53="Menor"),CONCATENATE("R7C",'[2]Mapa final'!$O$53),"")</f>
        <v/>
      </c>
      <c r="V32" s="115" t="str">
        <f>IF(AND('[2]Mapa final'!$Y$48="Media",'[2]Mapa final'!$AA$48="Moderado"),CONCATENATE("R7C",'[2]Mapa final'!$O$48),"")</f>
        <v/>
      </c>
      <c r="W32" s="116" t="str">
        <f>IF(AND('[2]Mapa final'!$Y$49="Media",'[2]Mapa final'!$AA$49="Moderado"),CONCATENATE("R7C",'[2]Mapa final'!$O$49),"")</f>
        <v/>
      </c>
      <c r="X32" s="116" t="str">
        <f>IF(AND('[2]Mapa final'!$Y$50="Media",'[2]Mapa final'!$AA$50="Moderado"),CONCATENATE("R7C",'[2]Mapa final'!$O$50),"")</f>
        <v/>
      </c>
      <c r="Y32" s="116" t="str">
        <f>IF(AND('[2]Mapa final'!$Y$51="Media",'[2]Mapa final'!$AA$51="Moderado"),CONCATENATE("R7C",'[2]Mapa final'!$O$51),"")</f>
        <v/>
      </c>
      <c r="Z32" s="116" t="str">
        <f>IF(AND('[2]Mapa final'!$Y$52="Media",'[2]Mapa final'!$AA$52="Moderado"),CONCATENATE("R7C",'[2]Mapa final'!$O$52),"")</f>
        <v/>
      </c>
      <c r="AA32" s="117" t="str">
        <f>IF(AND('[2]Mapa final'!$Y$53="Media",'[2]Mapa final'!$AA$53="Moderado"),CONCATENATE("R7C",'[2]Mapa final'!$O$53),"")</f>
        <v/>
      </c>
      <c r="AB32" s="100" t="str">
        <f>IF(AND('[2]Mapa final'!$Y$48="Media",'[2]Mapa final'!$AA$48="Mayor"),CONCATENATE("R7C",'[2]Mapa final'!$O$48),"")</f>
        <v>R7C1</v>
      </c>
      <c r="AC32" s="101" t="str">
        <f>IF(AND('[2]Mapa final'!$Y$49="Media",'[2]Mapa final'!$AA$49="Mayor"),CONCATENATE("R7C",'[2]Mapa final'!$O$49),"")</f>
        <v/>
      </c>
      <c r="AD32" s="101" t="str">
        <f>IF(AND('[2]Mapa final'!$Y$50="Media",'[2]Mapa final'!$AA$50="Mayor"),CONCATENATE("R7C",'[2]Mapa final'!$O$50),"")</f>
        <v/>
      </c>
      <c r="AE32" s="101" t="str">
        <f>IF(AND('[2]Mapa final'!$Y$51="Media",'[2]Mapa final'!$AA$51="Mayor"),CONCATENATE("R7C",'[2]Mapa final'!$O$51),"")</f>
        <v/>
      </c>
      <c r="AF32" s="101" t="str">
        <f>IF(AND('[2]Mapa final'!$Y$52="Media",'[2]Mapa final'!$AA$52="Mayor"),CONCATENATE("R7C",'[2]Mapa final'!$O$52),"")</f>
        <v/>
      </c>
      <c r="AG32" s="102" t="str">
        <f>IF(AND('[2]Mapa final'!$Y$53="Media",'[2]Mapa final'!$AA$53="Mayor"),CONCATENATE("R7C",'[2]Mapa final'!$O$53),"")</f>
        <v/>
      </c>
      <c r="AH32" s="103" t="str">
        <f>IF(AND('[2]Mapa final'!$Y$48="Media",'[2]Mapa final'!$AA$48="Catastrófico"),CONCATENATE("R7C",'[2]Mapa final'!$O$48),"")</f>
        <v/>
      </c>
      <c r="AI32" s="104" t="str">
        <f>IF(AND('[2]Mapa final'!$Y$49="Media",'[2]Mapa final'!$AA$49="Catastrófico"),CONCATENATE("R7C",'[2]Mapa final'!$O$49),"")</f>
        <v/>
      </c>
      <c r="AJ32" s="104" t="str">
        <f>IF(AND('[2]Mapa final'!$Y$50="Media",'[2]Mapa final'!$AA$50="Catastrófico"),CONCATENATE("R7C",'[2]Mapa final'!$O$50),"")</f>
        <v/>
      </c>
      <c r="AK32" s="104" t="str">
        <f>IF(AND('[2]Mapa final'!$Y$51="Media",'[2]Mapa final'!$AA$51="Catastrófico"),CONCATENATE("R7C",'[2]Mapa final'!$O$51),"")</f>
        <v/>
      </c>
      <c r="AL32" s="104" t="str">
        <f>IF(AND('[2]Mapa final'!$Y$52="Media",'[2]Mapa final'!$AA$52="Catastrófico"),CONCATENATE("R7C",'[2]Mapa final'!$O$52),"")</f>
        <v/>
      </c>
      <c r="AM32" s="105" t="str">
        <f>IF(AND('[2]Mapa final'!$Y$53="Media",'[2]Mapa final'!$AA$53="Catastrófico"),CONCATENATE("R7C",'[2]Mapa final'!$O$53),"")</f>
        <v/>
      </c>
      <c r="AN32" s="92"/>
      <c r="AO32" s="453"/>
      <c r="AP32" s="454"/>
      <c r="AQ32" s="454"/>
      <c r="AR32" s="454"/>
      <c r="AS32" s="454"/>
      <c r="AT32" s="455"/>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row>
    <row r="33" spans="1:80" ht="15" customHeight="1">
      <c r="A33" s="92"/>
      <c r="B33" s="417"/>
      <c r="C33" s="417"/>
      <c r="D33" s="418"/>
      <c r="E33" s="422"/>
      <c r="F33" s="423"/>
      <c r="G33" s="423"/>
      <c r="H33" s="423"/>
      <c r="I33" s="424"/>
      <c r="J33" s="115" t="str">
        <f>IF(AND('[2]Mapa final'!$Y$54="Media",'[2]Mapa final'!$AA$54="Leve"),CONCATENATE("R8C",'[2]Mapa final'!$O$54),"")</f>
        <v/>
      </c>
      <c r="K33" s="116" t="str">
        <f>IF(AND('[2]Mapa final'!$Y$55="Media",'[2]Mapa final'!$AA$55="Leve"),CONCATENATE("R8C",'[2]Mapa final'!$O$55),"")</f>
        <v/>
      </c>
      <c r="L33" s="116" t="str">
        <f>IF(AND('[2]Mapa final'!$Y$56="Media",'[2]Mapa final'!$AA$56="Leve"),CONCATENATE("R8C",'[2]Mapa final'!$O$56),"")</f>
        <v/>
      </c>
      <c r="M33" s="116" t="str">
        <f>IF(AND('[2]Mapa final'!$Y$57="Media",'[2]Mapa final'!$AA$57="Leve"),CONCATENATE("R8C",'[2]Mapa final'!$O$57),"")</f>
        <v/>
      </c>
      <c r="N33" s="116" t="str">
        <f>IF(AND('[2]Mapa final'!$Y$58="Media",'[2]Mapa final'!$AA$58="Leve"),CONCATENATE("R8C",'[2]Mapa final'!$O$58),"")</f>
        <v/>
      </c>
      <c r="O33" s="117" t="str">
        <f>IF(AND('[2]Mapa final'!$Y$59="Media",'[2]Mapa final'!$AA$59="Leve"),CONCATENATE("R8C",'[2]Mapa final'!$O$59),"")</f>
        <v/>
      </c>
      <c r="P33" s="115" t="str">
        <f>IF(AND('[2]Mapa final'!$Y$54="Media",'[2]Mapa final'!$AA$54="Menor"),CONCATENATE("R8C",'[2]Mapa final'!$O$54),"")</f>
        <v/>
      </c>
      <c r="Q33" s="116" t="str">
        <f>IF(AND('[2]Mapa final'!$Y$55="Media",'[2]Mapa final'!$AA$55="Menor"),CONCATENATE("R8C",'[2]Mapa final'!$O$55),"")</f>
        <v/>
      </c>
      <c r="R33" s="116" t="str">
        <f>IF(AND('[2]Mapa final'!$Y$56="Media",'[2]Mapa final'!$AA$56="Menor"),CONCATENATE("R8C",'[2]Mapa final'!$O$56),"")</f>
        <v/>
      </c>
      <c r="S33" s="116" t="str">
        <f>IF(AND('[2]Mapa final'!$Y$57="Media",'[2]Mapa final'!$AA$57="Menor"),CONCATENATE("R8C",'[2]Mapa final'!$O$57),"")</f>
        <v/>
      </c>
      <c r="T33" s="116" t="str">
        <f>IF(AND('[2]Mapa final'!$Y$58="Media",'[2]Mapa final'!$AA$58="Menor"),CONCATENATE("R8C",'[2]Mapa final'!$O$58),"")</f>
        <v/>
      </c>
      <c r="U33" s="117" t="str">
        <f>IF(AND('[2]Mapa final'!$Y$59="Media",'[2]Mapa final'!$AA$59="Menor"),CONCATENATE("R8C",'[2]Mapa final'!$O$59),"")</f>
        <v/>
      </c>
      <c r="V33" s="115" t="str">
        <f>IF(AND('[2]Mapa final'!$Y$54="Media",'[2]Mapa final'!$AA$54="Moderado"),CONCATENATE("R8C",'[2]Mapa final'!$O$54),"")</f>
        <v/>
      </c>
      <c r="W33" s="116" t="str">
        <f>IF(AND('[2]Mapa final'!$Y$55="Media",'[2]Mapa final'!$AA$55="Moderado"),CONCATENATE("R8C",'[2]Mapa final'!$O$55),"")</f>
        <v/>
      </c>
      <c r="X33" s="116" t="str">
        <f>IF(AND('[2]Mapa final'!$Y$56="Media",'[2]Mapa final'!$AA$56="Moderado"),CONCATENATE("R8C",'[2]Mapa final'!$O$56),"")</f>
        <v/>
      </c>
      <c r="Y33" s="116" t="str">
        <f>IF(AND('[2]Mapa final'!$Y$57="Media",'[2]Mapa final'!$AA$57="Moderado"),CONCATENATE("R8C",'[2]Mapa final'!$O$57),"")</f>
        <v/>
      </c>
      <c r="Z33" s="116" t="str">
        <f>IF(AND('[2]Mapa final'!$Y$58="Media",'[2]Mapa final'!$AA$58="Moderado"),CONCATENATE("R8C",'[2]Mapa final'!$O$58),"")</f>
        <v/>
      </c>
      <c r="AA33" s="117" t="str">
        <f>IF(AND('[2]Mapa final'!$Y$59="Media",'[2]Mapa final'!$AA$59="Moderado"),CONCATENATE("R8C",'[2]Mapa final'!$O$59),"")</f>
        <v/>
      </c>
      <c r="AB33" s="100" t="str">
        <f>IF(AND('[2]Mapa final'!$Y$54="Media",'[2]Mapa final'!$AA$54="Mayor"),CONCATENATE("R8C",'[2]Mapa final'!$O$54),"")</f>
        <v/>
      </c>
      <c r="AC33" s="101" t="str">
        <f>IF(AND('[2]Mapa final'!$Y$55="Media",'[2]Mapa final'!$AA$55="Mayor"),CONCATENATE("R8C",'[2]Mapa final'!$O$55),"")</f>
        <v/>
      </c>
      <c r="AD33" s="101" t="str">
        <f>IF(AND('[2]Mapa final'!$Y$56="Media",'[2]Mapa final'!$AA$56="Mayor"),CONCATENATE("R8C",'[2]Mapa final'!$O$56),"")</f>
        <v/>
      </c>
      <c r="AE33" s="101" t="str">
        <f>IF(AND('[2]Mapa final'!$Y$57="Media",'[2]Mapa final'!$AA$57="Mayor"),CONCATENATE("R8C",'[2]Mapa final'!$O$57),"")</f>
        <v/>
      </c>
      <c r="AF33" s="101" t="str">
        <f>IF(AND('[2]Mapa final'!$Y$58="Media",'[2]Mapa final'!$AA$58="Mayor"),CONCATENATE("R8C",'[2]Mapa final'!$O$58),"")</f>
        <v/>
      </c>
      <c r="AG33" s="102" t="str">
        <f>IF(AND('[2]Mapa final'!$Y$59="Media",'[2]Mapa final'!$AA$59="Mayor"),CONCATENATE("R8C",'[2]Mapa final'!$O$59),"")</f>
        <v/>
      </c>
      <c r="AH33" s="103" t="str">
        <f>IF(AND('[2]Mapa final'!$Y$54="Media",'[2]Mapa final'!$AA$54="Catastrófico"),CONCATENATE("R8C",'[2]Mapa final'!$O$54),"")</f>
        <v/>
      </c>
      <c r="AI33" s="104" t="str">
        <f>IF(AND('[2]Mapa final'!$Y$55="Media",'[2]Mapa final'!$AA$55="Catastrófico"),CONCATENATE("R8C",'[2]Mapa final'!$O$55),"")</f>
        <v/>
      </c>
      <c r="AJ33" s="104" t="str">
        <f>IF(AND('[2]Mapa final'!$Y$56="Media",'[2]Mapa final'!$AA$56="Catastrófico"),CONCATENATE("R8C",'[2]Mapa final'!$O$56),"")</f>
        <v/>
      </c>
      <c r="AK33" s="104" t="str">
        <f>IF(AND('[2]Mapa final'!$Y$57="Media",'[2]Mapa final'!$AA$57="Catastrófico"),CONCATENATE("R8C",'[2]Mapa final'!$O$57),"")</f>
        <v/>
      </c>
      <c r="AL33" s="104" t="str">
        <f>IF(AND('[2]Mapa final'!$Y$58="Media",'[2]Mapa final'!$AA$58="Catastrófico"),CONCATENATE("R8C",'[2]Mapa final'!$O$58),"")</f>
        <v/>
      </c>
      <c r="AM33" s="105" t="str">
        <f>IF(AND('[2]Mapa final'!$Y$59="Media",'[2]Mapa final'!$AA$59="Catastrófico"),CONCATENATE("R8C",'[2]Mapa final'!$O$59),"")</f>
        <v/>
      </c>
      <c r="AN33" s="92"/>
      <c r="AO33" s="453"/>
      <c r="AP33" s="454"/>
      <c r="AQ33" s="454"/>
      <c r="AR33" s="454"/>
      <c r="AS33" s="454"/>
      <c r="AT33" s="455"/>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row>
    <row r="34" spans="1:80" ht="15" customHeight="1">
      <c r="A34" s="92"/>
      <c r="B34" s="417"/>
      <c r="C34" s="417"/>
      <c r="D34" s="418"/>
      <c r="E34" s="422"/>
      <c r="F34" s="423"/>
      <c r="G34" s="423"/>
      <c r="H34" s="423"/>
      <c r="I34" s="424"/>
      <c r="J34" s="115" t="str">
        <f>IF(AND('[2]Mapa final'!$Y$60="Media",'[2]Mapa final'!$AA$60="Leve"),CONCATENATE("R9C",'[2]Mapa final'!$O$60),"")</f>
        <v/>
      </c>
      <c r="K34" s="116" t="str">
        <f>IF(AND('[2]Mapa final'!$Y$61="Media",'[2]Mapa final'!$AA$61="Leve"),CONCATENATE("R9C",'[2]Mapa final'!$O$61),"")</f>
        <v/>
      </c>
      <c r="L34" s="116" t="str">
        <f>IF(AND('[2]Mapa final'!$Y$62="Media",'[2]Mapa final'!$AA$62="Leve"),CONCATENATE("R9C",'[2]Mapa final'!$O$62),"")</f>
        <v/>
      </c>
      <c r="M34" s="116" t="str">
        <f>IF(AND('[2]Mapa final'!$Y$63="Media",'[2]Mapa final'!$AA$63="Leve"),CONCATENATE("R9C",'[2]Mapa final'!$O$63),"")</f>
        <v/>
      </c>
      <c r="N34" s="116" t="str">
        <f>IF(AND('[2]Mapa final'!$Y$64="Media",'[2]Mapa final'!$AA$64="Leve"),CONCATENATE("R9C",'[2]Mapa final'!$O$64),"")</f>
        <v/>
      </c>
      <c r="O34" s="117" t="str">
        <f>IF(AND('[2]Mapa final'!$Y$65="Media",'[2]Mapa final'!$AA$65="Leve"),CONCATENATE("R9C",'[2]Mapa final'!$O$65),"")</f>
        <v/>
      </c>
      <c r="P34" s="115" t="str">
        <f>IF(AND('[2]Mapa final'!$Y$60="Media",'[2]Mapa final'!$AA$60="Menor"),CONCATENATE("R9C",'[2]Mapa final'!$O$60),"")</f>
        <v/>
      </c>
      <c r="Q34" s="116" t="str">
        <f>IF(AND('[2]Mapa final'!$Y$61="Media",'[2]Mapa final'!$AA$61="Menor"),CONCATENATE("R9C",'[2]Mapa final'!$O$61),"")</f>
        <v/>
      </c>
      <c r="R34" s="116" t="str">
        <f>IF(AND('[2]Mapa final'!$Y$62="Media",'[2]Mapa final'!$AA$62="Menor"),CONCATENATE("R9C",'[2]Mapa final'!$O$62),"")</f>
        <v/>
      </c>
      <c r="S34" s="116" t="str">
        <f>IF(AND('[2]Mapa final'!$Y$63="Media",'[2]Mapa final'!$AA$63="Menor"),CONCATENATE("R9C",'[2]Mapa final'!$O$63),"")</f>
        <v/>
      </c>
      <c r="T34" s="116" t="str">
        <f>IF(AND('[2]Mapa final'!$Y$64="Media",'[2]Mapa final'!$AA$64="Menor"),CONCATENATE("R9C",'[2]Mapa final'!$O$64),"")</f>
        <v/>
      </c>
      <c r="U34" s="117" t="str">
        <f>IF(AND('[2]Mapa final'!$Y$65="Media",'[2]Mapa final'!$AA$65="Menor"),CONCATENATE("R9C",'[2]Mapa final'!$O$65),"")</f>
        <v/>
      </c>
      <c r="V34" s="115" t="str">
        <f>IF(AND('[2]Mapa final'!$Y$60="Media",'[2]Mapa final'!$AA$60="Moderado"),CONCATENATE("R9C",'[2]Mapa final'!$O$60),"")</f>
        <v/>
      </c>
      <c r="W34" s="116" t="str">
        <f>IF(AND('[2]Mapa final'!$Y$61="Media",'[2]Mapa final'!$AA$61="Moderado"),CONCATENATE("R9C",'[2]Mapa final'!$O$61),"")</f>
        <v/>
      </c>
      <c r="X34" s="116" t="str">
        <f>IF(AND('[2]Mapa final'!$Y$62="Media",'[2]Mapa final'!$AA$62="Moderado"),CONCATENATE("R9C",'[2]Mapa final'!$O$62),"")</f>
        <v/>
      </c>
      <c r="Y34" s="116" t="str">
        <f>IF(AND('[2]Mapa final'!$Y$63="Media",'[2]Mapa final'!$AA$63="Moderado"),CONCATENATE("R9C",'[2]Mapa final'!$O$63),"")</f>
        <v/>
      </c>
      <c r="Z34" s="116" t="str">
        <f>IF(AND('[2]Mapa final'!$Y$64="Media",'[2]Mapa final'!$AA$64="Moderado"),CONCATENATE("R9C",'[2]Mapa final'!$O$64),"")</f>
        <v/>
      </c>
      <c r="AA34" s="117" t="str">
        <f>IF(AND('[2]Mapa final'!$Y$65="Media",'[2]Mapa final'!$AA$65="Moderado"),CONCATENATE("R9C",'[2]Mapa final'!$O$65),"")</f>
        <v/>
      </c>
      <c r="AB34" s="100" t="str">
        <f>IF(AND('[2]Mapa final'!$Y$60="Media",'[2]Mapa final'!$AA$60="Mayor"),CONCATENATE("R9C",'[2]Mapa final'!$O$60),"")</f>
        <v/>
      </c>
      <c r="AC34" s="101" t="str">
        <f>IF(AND('[2]Mapa final'!$Y$61="Media",'[2]Mapa final'!$AA$61="Mayor"),CONCATENATE("R9C",'[2]Mapa final'!$O$61),"")</f>
        <v/>
      </c>
      <c r="AD34" s="101" t="str">
        <f>IF(AND('[2]Mapa final'!$Y$62="Media",'[2]Mapa final'!$AA$62="Mayor"),CONCATENATE("R9C",'[2]Mapa final'!$O$62),"")</f>
        <v/>
      </c>
      <c r="AE34" s="101" t="str">
        <f>IF(AND('[2]Mapa final'!$Y$63="Media",'[2]Mapa final'!$AA$63="Mayor"),CONCATENATE("R9C",'[2]Mapa final'!$O$63),"")</f>
        <v/>
      </c>
      <c r="AF34" s="101" t="str">
        <f>IF(AND('[2]Mapa final'!$Y$64="Media",'[2]Mapa final'!$AA$64="Mayor"),CONCATENATE("R9C",'[2]Mapa final'!$O$64),"")</f>
        <v/>
      </c>
      <c r="AG34" s="102" t="str">
        <f>IF(AND('[2]Mapa final'!$Y$65="Media",'[2]Mapa final'!$AA$65="Mayor"),CONCATENATE("R9C",'[2]Mapa final'!$O$65),"")</f>
        <v/>
      </c>
      <c r="AH34" s="103" t="str">
        <f>IF(AND('[2]Mapa final'!$Y$60="Media",'[2]Mapa final'!$AA$60="Catastrófico"),CONCATENATE("R9C",'[2]Mapa final'!$O$60),"")</f>
        <v/>
      </c>
      <c r="AI34" s="104" t="str">
        <f>IF(AND('[2]Mapa final'!$Y$61="Media",'[2]Mapa final'!$AA$61="Catastrófico"),CONCATENATE("R9C",'[2]Mapa final'!$O$61),"")</f>
        <v/>
      </c>
      <c r="AJ34" s="104" t="str">
        <f>IF(AND('[2]Mapa final'!$Y$62="Media",'[2]Mapa final'!$AA$62="Catastrófico"),CONCATENATE("R9C",'[2]Mapa final'!$O$62),"")</f>
        <v/>
      </c>
      <c r="AK34" s="104" t="str">
        <f>IF(AND('[2]Mapa final'!$Y$63="Media",'[2]Mapa final'!$AA$63="Catastrófico"),CONCATENATE("R9C",'[2]Mapa final'!$O$63),"")</f>
        <v/>
      </c>
      <c r="AL34" s="104" t="str">
        <f>IF(AND('[2]Mapa final'!$Y$64="Media",'[2]Mapa final'!$AA$64="Catastrófico"),CONCATENATE("R9C",'[2]Mapa final'!$O$64),"")</f>
        <v/>
      </c>
      <c r="AM34" s="105" t="str">
        <f>IF(AND('[2]Mapa final'!$Y$65="Media",'[2]Mapa final'!$AA$65="Catastrófico"),CONCATENATE("R9C",'[2]Mapa final'!$O$65),"")</f>
        <v/>
      </c>
      <c r="AN34" s="92"/>
      <c r="AO34" s="453"/>
      <c r="AP34" s="454"/>
      <c r="AQ34" s="454"/>
      <c r="AR34" s="454"/>
      <c r="AS34" s="454"/>
      <c r="AT34" s="455"/>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row>
    <row r="35" spans="1:80" ht="15.75" customHeight="1" thickBot="1">
      <c r="A35" s="92"/>
      <c r="B35" s="417"/>
      <c r="C35" s="417"/>
      <c r="D35" s="418"/>
      <c r="E35" s="425"/>
      <c r="F35" s="426"/>
      <c r="G35" s="426"/>
      <c r="H35" s="426"/>
      <c r="I35" s="427"/>
      <c r="J35" s="115" t="str">
        <f>IF(AND('[2]Mapa final'!$Y$66="Media",'[2]Mapa final'!$AA$66="Leve"),CONCATENATE("R10C",'[2]Mapa final'!$O$66),"")</f>
        <v/>
      </c>
      <c r="K35" s="116" t="str">
        <f>IF(AND('[2]Mapa final'!$Y$67="Media",'[2]Mapa final'!$AA$67="Leve"),CONCATENATE("R10C",'[2]Mapa final'!$O$67),"")</f>
        <v/>
      </c>
      <c r="L35" s="116" t="str">
        <f>IF(AND('[2]Mapa final'!$Y$68="Media",'[2]Mapa final'!$AA$68="Leve"),CONCATENATE("R10C",'[2]Mapa final'!$O$68),"")</f>
        <v/>
      </c>
      <c r="M35" s="116" t="str">
        <f>IF(AND('[2]Mapa final'!$Y$69="Media",'[2]Mapa final'!$AA$69="Leve"),CONCATENATE("R10C",'[2]Mapa final'!$O$69),"")</f>
        <v/>
      </c>
      <c r="N35" s="116" t="str">
        <f>IF(AND('[2]Mapa final'!$Y$70="Media",'[2]Mapa final'!$AA$70="Leve"),CONCATENATE("R10C",'[2]Mapa final'!$O$70),"")</f>
        <v/>
      </c>
      <c r="O35" s="117" t="str">
        <f>IF(AND('[2]Mapa final'!$Y$71="Media",'[2]Mapa final'!$AA$71="Leve"),CONCATENATE("R10C",'[2]Mapa final'!$O$71),"")</f>
        <v/>
      </c>
      <c r="P35" s="115" t="str">
        <f>IF(AND('[2]Mapa final'!$Y$66="Media",'[2]Mapa final'!$AA$66="Menor"),CONCATENATE("R10C",'[2]Mapa final'!$O$66),"")</f>
        <v/>
      </c>
      <c r="Q35" s="116" t="str">
        <f>IF(AND('[2]Mapa final'!$Y$67="Media",'[2]Mapa final'!$AA$67="Menor"),CONCATENATE("R10C",'[2]Mapa final'!$O$67),"")</f>
        <v/>
      </c>
      <c r="R35" s="116" t="str">
        <f>IF(AND('[2]Mapa final'!$Y$68="Media",'[2]Mapa final'!$AA$68="Menor"),CONCATENATE("R10C",'[2]Mapa final'!$O$68),"")</f>
        <v/>
      </c>
      <c r="S35" s="116" t="str">
        <f>IF(AND('[2]Mapa final'!$Y$69="Media",'[2]Mapa final'!$AA$69="Menor"),CONCATENATE("R10C",'[2]Mapa final'!$O$69),"")</f>
        <v/>
      </c>
      <c r="T35" s="116" t="str">
        <f>IF(AND('[2]Mapa final'!$Y$70="Media",'[2]Mapa final'!$AA$70="Menor"),CONCATENATE("R10C",'[2]Mapa final'!$O$70),"")</f>
        <v/>
      </c>
      <c r="U35" s="117" t="str">
        <f>IF(AND('[2]Mapa final'!$Y$71="Media",'[2]Mapa final'!$AA$71="Menor"),CONCATENATE("R10C",'[2]Mapa final'!$O$71),"")</f>
        <v/>
      </c>
      <c r="V35" s="115" t="str">
        <f>IF(AND('[2]Mapa final'!$Y$66="Media",'[2]Mapa final'!$AA$66="Moderado"),CONCATENATE("R10C",'[2]Mapa final'!$O$66),"")</f>
        <v/>
      </c>
      <c r="W35" s="116" t="str">
        <f>IF(AND('[2]Mapa final'!$Y$67="Media",'[2]Mapa final'!$AA$67="Moderado"),CONCATENATE("R10C",'[2]Mapa final'!$O$67),"")</f>
        <v/>
      </c>
      <c r="X35" s="116" t="str">
        <f>IF(AND('[2]Mapa final'!$Y$68="Media",'[2]Mapa final'!$AA$68="Moderado"),CONCATENATE("R10C",'[2]Mapa final'!$O$68),"")</f>
        <v/>
      </c>
      <c r="Y35" s="116" t="str">
        <f>IF(AND('[2]Mapa final'!$Y$69="Media",'[2]Mapa final'!$AA$69="Moderado"),CONCATENATE("R10C",'[2]Mapa final'!$O$69),"")</f>
        <v/>
      </c>
      <c r="Z35" s="116" t="str">
        <f>IF(AND('[2]Mapa final'!$Y$70="Media",'[2]Mapa final'!$AA$70="Moderado"),CONCATENATE("R10C",'[2]Mapa final'!$O$70),"")</f>
        <v/>
      </c>
      <c r="AA35" s="117" t="str">
        <f>IF(AND('[2]Mapa final'!$Y$71="Media",'[2]Mapa final'!$AA$71="Moderado"),CONCATENATE("R10C",'[2]Mapa final'!$O$71),"")</f>
        <v/>
      </c>
      <c r="AB35" s="106" t="str">
        <f>IF(AND('[2]Mapa final'!$Y$66="Media",'[2]Mapa final'!$AA$66="Mayor"),CONCATENATE("R10C",'[2]Mapa final'!$O$66),"")</f>
        <v/>
      </c>
      <c r="AC35" s="107" t="str">
        <f>IF(AND('[2]Mapa final'!$Y$67="Media",'[2]Mapa final'!$AA$67="Mayor"),CONCATENATE("R10C",'[2]Mapa final'!$O$67),"")</f>
        <v/>
      </c>
      <c r="AD35" s="107" t="str">
        <f>IF(AND('[2]Mapa final'!$Y$68="Media",'[2]Mapa final'!$AA$68="Mayor"),CONCATENATE("R10C",'[2]Mapa final'!$O$68),"")</f>
        <v/>
      </c>
      <c r="AE35" s="107" t="str">
        <f>IF(AND('[2]Mapa final'!$Y$69="Media",'[2]Mapa final'!$AA$69="Mayor"),CONCATENATE("R10C",'[2]Mapa final'!$O$69),"")</f>
        <v/>
      </c>
      <c r="AF35" s="107" t="str">
        <f>IF(AND('[2]Mapa final'!$Y$70="Media",'[2]Mapa final'!$AA$70="Mayor"),CONCATENATE("R10C",'[2]Mapa final'!$O$70),"")</f>
        <v/>
      </c>
      <c r="AG35" s="108" t="str">
        <f>IF(AND('[2]Mapa final'!$Y$71="Media",'[2]Mapa final'!$AA$71="Mayor"),CONCATENATE("R10C",'[2]Mapa final'!$O$71),"")</f>
        <v/>
      </c>
      <c r="AH35" s="109" t="str">
        <f>IF(AND('[2]Mapa final'!$Y$66="Media",'[2]Mapa final'!$AA$66="Catastrófico"),CONCATENATE("R10C",'[2]Mapa final'!$O$66),"")</f>
        <v/>
      </c>
      <c r="AI35" s="110" t="str">
        <f>IF(AND('[2]Mapa final'!$Y$67="Media",'[2]Mapa final'!$AA$67="Catastrófico"),CONCATENATE("R10C",'[2]Mapa final'!$O$67),"")</f>
        <v/>
      </c>
      <c r="AJ35" s="110" t="str">
        <f>IF(AND('[2]Mapa final'!$Y$68="Media",'[2]Mapa final'!$AA$68="Catastrófico"),CONCATENATE("R10C",'[2]Mapa final'!$O$68),"")</f>
        <v/>
      </c>
      <c r="AK35" s="110" t="str">
        <f>IF(AND('[2]Mapa final'!$Y$69="Media",'[2]Mapa final'!$AA$69="Catastrófico"),CONCATENATE("R10C",'[2]Mapa final'!$O$69),"")</f>
        <v/>
      </c>
      <c r="AL35" s="110" t="str">
        <f>IF(AND('[2]Mapa final'!$Y$70="Media",'[2]Mapa final'!$AA$70="Catastrófico"),CONCATENATE("R10C",'[2]Mapa final'!$O$70),"")</f>
        <v/>
      </c>
      <c r="AM35" s="111" t="str">
        <f>IF(AND('[2]Mapa final'!$Y$71="Media",'[2]Mapa final'!$AA$71="Catastrófico"),CONCATENATE("R10C",'[2]Mapa final'!$O$71),"")</f>
        <v/>
      </c>
      <c r="AN35" s="92"/>
      <c r="AO35" s="456"/>
      <c r="AP35" s="457"/>
      <c r="AQ35" s="457"/>
      <c r="AR35" s="457"/>
      <c r="AS35" s="457"/>
      <c r="AT35" s="458"/>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row>
    <row r="36" spans="1:80" ht="15" customHeight="1">
      <c r="A36" s="92"/>
      <c r="B36" s="417"/>
      <c r="C36" s="417"/>
      <c r="D36" s="418"/>
      <c r="E36" s="419" t="s">
        <v>525</v>
      </c>
      <c r="F36" s="420"/>
      <c r="G36" s="420"/>
      <c r="H36" s="420"/>
      <c r="I36" s="420"/>
      <c r="J36" s="121" t="str">
        <f>IF(AND('[2]Mapa final'!$Y$12="Baja",'[2]Mapa final'!$AA$12="Leve"),CONCATENATE("R1C",'[2]Mapa final'!$O$12),"")</f>
        <v>R1C1</v>
      </c>
      <c r="K36" s="122" t="str">
        <f>IF(AND('[2]Mapa final'!$Y$13="Baja",'[2]Mapa final'!$AA$13="Leve"),CONCATENATE("R1C",'[2]Mapa final'!$O$13),"")</f>
        <v/>
      </c>
      <c r="L36" s="122" t="str">
        <f>IF(AND('[2]Mapa final'!$Y$14="Baja",'[2]Mapa final'!$AA$14="Leve"),CONCATENATE("R1C",'[2]Mapa final'!$O$14),"")</f>
        <v/>
      </c>
      <c r="M36" s="122" t="str">
        <f>IF(AND('[2]Mapa final'!$Y$15="Baja",'[2]Mapa final'!$AA$15="Leve"),CONCATENATE("R1C",'[2]Mapa final'!$O$15),"")</f>
        <v/>
      </c>
      <c r="N36" s="122" t="str">
        <f>IF(AND('[2]Mapa final'!$Y$16="Baja",'[2]Mapa final'!$AA$16="Leve"),CONCATENATE("R1C",'[2]Mapa final'!$O$16),"")</f>
        <v/>
      </c>
      <c r="O36" s="123" t="str">
        <f>IF(AND('[2]Mapa final'!$Y$17="Baja",'[2]Mapa final'!$AA$17="Leve"),CONCATENATE("R1C",'[2]Mapa final'!$O$17),"")</f>
        <v/>
      </c>
      <c r="P36" s="112" t="str">
        <f>IF(AND('[2]Mapa final'!$Y$12="Baja",'[2]Mapa final'!$AA$12="Menor"),CONCATENATE("R1C",'[2]Mapa final'!$O$12),"")</f>
        <v/>
      </c>
      <c r="Q36" s="113" t="str">
        <f>IF(AND('[2]Mapa final'!$Y$13="Baja",'[2]Mapa final'!$AA$13="Menor"),CONCATENATE("R1C",'[2]Mapa final'!$O$13),"")</f>
        <v/>
      </c>
      <c r="R36" s="113" t="str">
        <f>IF(AND('[2]Mapa final'!$Y$14="Baja",'[2]Mapa final'!$AA$14="Menor"),CONCATENATE("R1C",'[2]Mapa final'!$O$14),"")</f>
        <v/>
      </c>
      <c r="S36" s="113" t="str">
        <f>IF(AND('[2]Mapa final'!$Y$15="Baja",'[2]Mapa final'!$AA$15="Menor"),CONCATENATE("R1C",'[2]Mapa final'!$O$15),"")</f>
        <v/>
      </c>
      <c r="T36" s="113" t="str">
        <f>IF(AND('[2]Mapa final'!$Y$16="Baja",'[2]Mapa final'!$AA$16="Menor"),CONCATENATE("R1C",'[2]Mapa final'!$O$16),"")</f>
        <v/>
      </c>
      <c r="U36" s="114" t="str">
        <f>IF(AND('[2]Mapa final'!$Y$17="Baja",'[2]Mapa final'!$AA$17="Menor"),CONCATENATE("R1C",'[2]Mapa final'!$O$17),"")</f>
        <v/>
      </c>
      <c r="V36" s="112" t="str">
        <f>IF(AND('[2]Mapa final'!$Y$12="Baja",'[2]Mapa final'!$AA$12="Moderado"),CONCATENATE("R1C",'[2]Mapa final'!$O$12),"")</f>
        <v/>
      </c>
      <c r="W36" s="113" t="str">
        <f>IF(AND('[2]Mapa final'!$Y$13="Baja",'[2]Mapa final'!$AA$13="Moderado"),CONCATENATE("R1C",'[2]Mapa final'!$O$13),"")</f>
        <v/>
      </c>
      <c r="X36" s="113" t="str">
        <f>IF(AND('[2]Mapa final'!$Y$14="Baja",'[2]Mapa final'!$AA$14="Moderado"),CONCATENATE("R1C",'[2]Mapa final'!$O$14),"")</f>
        <v/>
      </c>
      <c r="Y36" s="113" t="str">
        <f>IF(AND('[2]Mapa final'!$Y$15="Baja",'[2]Mapa final'!$AA$15="Moderado"),CONCATENATE("R1C",'[2]Mapa final'!$O$15),"")</f>
        <v/>
      </c>
      <c r="Z36" s="113" t="str">
        <f>IF(AND('[2]Mapa final'!$Y$16="Baja",'[2]Mapa final'!$AA$16="Moderado"),CONCATENATE("R1C",'[2]Mapa final'!$O$16),"")</f>
        <v/>
      </c>
      <c r="AA36" s="114" t="str">
        <f>IF(AND('[2]Mapa final'!$Y$17="Baja",'[2]Mapa final'!$AA$17="Moderado"),CONCATENATE("R1C",'[2]Mapa final'!$O$17),"")</f>
        <v/>
      </c>
      <c r="AB36" s="94" t="str">
        <f>IF(AND('[2]Mapa final'!$Y$12="Baja",'[2]Mapa final'!$AA$12="Mayor"),CONCATENATE("R1C",'[2]Mapa final'!$O$12),"")</f>
        <v/>
      </c>
      <c r="AC36" s="95" t="str">
        <f>IF(AND('[2]Mapa final'!$Y$13="Baja",'[2]Mapa final'!$AA$13="Mayor"),CONCATENATE("R1C",'[2]Mapa final'!$O$13),"")</f>
        <v/>
      </c>
      <c r="AD36" s="95" t="str">
        <f>IF(AND('[2]Mapa final'!$Y$14="Baja",'[2]Mapa final'!$AA$14="Mayor"),CONCATENATE("R1C",'[2]Mapa final'!$O$14),"")</f>
        <v/>
      </c>
      <c r="AE36" s="95" t="str">
        <f>IF(AND('[2]Mapa final'!$Y$15="Baja",'[2]Mapa final'!$AA$15="Mayor"),CONCATENATE("R1C",'[2]Mapa final'!$O$15),"")</f>
        <v/>
      </c>
      <c r="AF36" s="95" t="str">
        <f>IF(AND('[2]Mapa final'!$Y$16="Baja",'[2]Mapa final'!$AA$16="Mayor"),CONCATENATE("R1C",'[2]Mapa final'!$O$16),"")</f>
        <v/>
      </c>
      <c r="AG36" s="96" t="str">
        <f>IF(AND('[2]Mapa final'!$Y$17="Baja",'[2]Mapa final'!$AA$17="Mayor"),CONCATENATE("R1C",'[2]Mapa final'!$O$17),"")</f>
        <v/>
      </c>
      <c r="AH36" s="97" t="str">
        <f>IF(AND('[2]Mapa final'!$Y$12="Baja",'[2]Mapa final'!$AA$12="Catastrófico"),CONCATENATE("R1C",'[2]Mapa final'!$O$12),"")</f>
        <v/>
      </c>
      <c r="AI36" s="98" t="str">
        <f>IF(AND('[2]Mapa final'!$Y$13="Baja",'[2]Mapa final'!$AA$13="Catastrófico"),CONCATENATE("R1C",'[2]Mapa final'!$O$13),"")</f>
        <v/>
      </c>
      <c r="AJ36" s="98" t="str">
        <f>IF(AND('[2]Mapa final'!$Y$14="Baja",'[2]Mapa final'!$AA$14="Catastrófico"),CONCATENATE("R1C",'[2]Mapa final'!$O$14),"")</f>
        <v/>
      </c>
      <c r="AK36" s="98" t="str">
        <f>IF(AND('[2]Mapa final'!$Y$15="Baja",'[2]Mapa final'!$AA$15="Catastrófico"),CONCATENATE("R1C",'[2]Mapa final'!$O$15),"")</f>
        <v/>
      </c>
      <c r="AL36" s="98" t="str">
        <f>IF(AND('[2]Mapa final'!$Y$16="Baja",'[2]Mapa final'!$AA$16="Catastrófico"),CONCATENATE("R1C",'[2]Mapa final'!$O$16),"")</f>
        <v/>
      </c>
      <c r="AM36" s="99" t="str">
        <f>IF(AND('[2]Mapa final'!$Y$17="Baja",'[2]Mapa final'!$AA$17="Catastrófico"),CONCATENATE("R1C",'[2]Mapa final'!$O$17),"")</f>
        <v/>
      </c>
      <c r="AN36" s="92"/>
      <c r="AO36" s="459" t="s">
        <v>526</v>
      </c>
      <c r="AP36" s="460"/>
      <c r="AQ36" s="460"/>
      <c r="AR36" s="460"/>
      <c r="AS36" s="460"/>
      <c r="AT36" s="461"/>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row>
    <row r="37" spans="1:80" ht="15" customHeight="1">
      <c r="A37" s="92"/>
      <c r="B37" s="417"/>
      <c r="C37" s="417"/>
      <c r="D37" s="418"/>
      <c r="E37" s="440"/>
      <c r="F37" s="423"/>
      <c r="G37" s="423"/>
      <c r="H37" s="423"/>
      <c r="I37" s="423"/>
      <c r="J37" s="124" t="str">
        <f>IF(AND('[2]Mapa final'!$Y$18="Baja",'[2]Mapa final'!$AA$18="Leve"),CONCATENATE("R2C",'[2]Mapa final'!$O$18),"")</f>
        <v/>
      </c>
      <c r="K37" s="125" t="str">
        <f>IF(AND('[2]Mapa final'!$Y$19="Baja",'[2]Mapa final'!$AA$19="Leve"),CONCATENATE("R2C",'[2]Mapa final'!$O$19),"")</f>
        <v/>
      </c>
      <c r="L37" s="125" t="str">
        <f>IF(AND('[2]Mapa final'!$Y$20="Baja",'[2]Mapa final'!$AA$20="Leve"),CONCATENATE("R2C",'[2]Mapa final'!$O$20),"")</f>
        <v/>
      </c>
      <c r="M37" s="125" t="str">
        <f>IF(AND('[2]Mapa final'!$Y$21="Baja",'[2]Mapa final'!$AA$21="Leve"),CONCATENATE("R2C",'[2]Mapa final'!$O$21),"")</f>
        <v/>
      </c>
      <c r="N37" s="125" t="str">
        <f>IF(AND('[2]Mapa final'!$Y$22="Baja",'[2]Mapa final'!$AA$22="Leve"),CONCATENATE("R2C",'[2]Mapa final'!$O$22),"")</f>
        <v/>
      </c>
      <c r="O37" s="126" t="str">
        <f>IF(AND('[2]Mapa final'!$Y$23="Baja",'[2]Mapa final'!$AA$23="Leve"),CONCATENATE("R2C",'[2]Mapa final'!$O$23),"")</f>
        <v/>
      </c>
      <c r="P37" s="115" t="str">
        <f>IF(AND('[2]Mapa final'!$Y$18="Baja",'[2]Mapa final'!$AA$18="Menor"),CONCATENATE("R2C",'[2]Mapa final'!$O$18),"")</f>
        <v>R2C1</v>
      </c>
      <c r="Q37" s="116" t="str">
        <f>IF(AND('[2]Mapa final'!$Y$19="Baja",'[2]Mapa final'!$AA$19="Menor"),CONCATENATE("R2C",'[2]Mapa final'!$O$19),"")</f>
        <v/>
      </c>
      <c r="R37" s="116" t="str">
        <f>IF(AND('[2]Mapa final'!$Y$20="Baja",'[2]Mapa final'!$AA$20="Menor"),CONCATENATE("R2C",'[2]Mapa final'!$O$20),"")</f>
        <v/>
      </c>
      <c r="S37" s="116" t="str">
        <f>IF(AND('[2]Mapa final'!$Y$21="Baja",'[2]Mapa final'!$AA$21="Menor"),CONCATENATE("R2C",'[2]Mapa final'!$O$21),"")</f>
        <v/>
      </c>
      <c r="T37" s="116" t="str">
        <f>IF(AND('[2]Mapa final'!$Y$22="Baja",'[2]Mapa final'!$AA$22="Menor"),CONCATENATE("R2C",'[2]Mapa final'!$O$22),"")</f>
        <v/>
      </c>
      <c r="U37" s="117" t="str">
        <f>IF(AND('[2]Mapa final'!$Y$23="Baja",'[2]Mapa final'!$AA$23="Menor"),CONCATENATE("R2C",'[2]Mapa final'!$O$23),"")</f>
        <v/>
      </c>
      <c r="V37" s="115" t="str">
        <f>IF(AND('[2]Mapa final'!$Y$18="Baja",'[2]Mapa final'!$AA$18="Moderado"),CONCATENATE("R2C",'[2]Mapa final'!$O$18),"")</f>
        <v/>
      </c>
      <c r="W37" s="116" t="str">
        <f>IF(AND('[2]Mapa final'!$Y$19="Baja",'[2]Mapa final'!$AA$19="Moderado"),CONCATENATE("R2C",'[2]Mapa final'!$O$19),"")</f>
        <v/>
      </c>
      <c r="X37" s="116" t="str">
        <f>IF(AND('[2]Mapa final'!$Y$20="Baja",'[2]Mapa final'!$AA$20="Moderado"),CONCATENATE("R2C",'[2]Mapa final'!$O$20),"")</f>
        <v/>
      </c>
      <c r="Y37" s="116" t="str">
        <f>IF(AND('[2]Mapa final'!$Y$21="Baja",'[2]Mapa final'!$AA$21="Moderado"),CONCATENATE("R2C",'[2]Mapa final'!$O$21),"")</f>
        <v/>
      </c>
      <c r="Z37" s="116" t="str">
        <f>IF(AND('[2]Mapa final'!$Y$22="Baja",'[2]Mapa final'!$AA$22="Moderado"),CONCATENATE("R2C",'[2]Mapa final'!$O$22),"")</f>
        <v/>
      </c>
      <c r="AA37" s="117" t="str">
        <f>IF(AND('[2]Mapa final'!$Y$23="Baja",'[2]Mapa final'!$AA$23="Moderado"),CONCATENATE("R2C",'[2]Mapa final'!$O$23),"")</f>
        <v/>
      </c>
      <c r="AB37" s="100" t="str">
        <f>IF(AND('[2]Mapa final'!$Y$18="Baja",'[2]Mapa final'!$AA$18="Mayor"),CONCATENATE("R2C",'[2]Mapa final'!$O$18),"")</f>
        <v/>
      </c>
      <c r="AC37" s="101" t="str">
        <f>IF(AND('[2]Mapa final'!$Y$19="Baja",'[2]Mapa final'!$AA$19="Mayor"),CONCATENATE("R2C",'[2]Mapa final'!$O$19),"")</f>
        <v/>
      </c>
      <c r="AD37" s="101" t="str">
        <f>IF(AND('[2]Mapa final'!$Y$20="Baja",'[2]Mapa final'!$AA$20="Mayor"),CONCATENATE("R2C",'[2]Mapa final'!$O$20),"")</f>
        <v/>
      </c>
      <c r="AE37" s="101" t="str">
        <f>IF(AND('[2]Mapa final'!$Y$21="Baja",'[2]Mapa final'!$AA$21="Mayor"),CONCATENATE("R2C",'[2]Mapa final'!$O$21),"")</f>
        <v/>
      </c>
      <c r="AF37" s="101" t="str">
        <f>IF(AND('[2]Mapa final'!$Y$22="Baja",'[2]Mapa final'!$AA$22="Mayor"),CONCATENATE("R2C",'[2]Mapa final'!$O$22),"")</f>
        <v/>
      </c>
      <c r="AG37" s="102" t="str">
        <f>IF(AND('[2]Mapa final'!$Y$23="Baja",'[2]Mapa final'!$AA$23="Mayor"),CONCATENATE("R2C",'[2]Mapa final'!$O$23),"")</f>
        <v/>
      </c>
      <c r="AH37" s="103" t="str">
        <f>IF(AND('[2]Mapa final'!$Y$18="Baja",'[2]Mapa final'!$AA$18="Catastrófico"),CONCATENATE("R2C",'[2]Mapa final'!$O$18),"")</f>
        <v/>
      </c>
      <c r="AI37" s="104" t="str">
        <f>IF(AND('[2]Mapa final'!$Y$19="Baja",'[2]Mapa final'!$AA$19="Catastrófico"),CONCATENATE("R2C",'[2]Mapa final'!$O$19),"")</f>
        <v/>
      </c>
      <c r="AJ37" s="104" t="str">
        <f>IF(AND('[2]Mapa final'!$Y$20="Baja",'[2]Mapa final'!$AA$20="Catastrófico"),CONCATENATE("R2C",'[2]Mapa final'!$O$20),"")</f>
        <v/>
      </c>
      <c r="AK37" s="104" t="str">
        <f>IF(AND('[2]Mapa final'!$Y$21="Baja",'[2]Mapa final'!$AA$21="Catastrófico"),CONCATENATE("R2C",'[2]Mapa final'!$O$21),"")</f>
        <v/>
      </c>
      <c r="AL37" s="104" t="str">
        <f>IF(AND('[2]Mapa final'!$Y$22="Baja",'[2]Mapa final'!$AA$22="Catastrófico"),CONCATENATE("R2C",'[2]Mapa final'!$O$22),"")</f>
        <v/>
      </c>
      <c r="AM37" s="105" t="str">
        <f>IF(AND('[2]Mapa final'!$Y$23="Baja",'[2]Mapa final'!$AA$23="Catastrófico"),CONCATENATE("R2C",'[2]Mapa final'!$O$23),"")</f>
        <v/>
      </c>
      <c r="AN37" s="92"/>
      <c r="AO37" s="462"/>
      <c r="AP37" s="463"/>
      <c r="AQ37" s="463"/>
      <c r="AR37" s="463"/>
      <c r="AS37" s="463"/>
      <c r="AT37" s="464"/>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row>
    <row r="38" spans="1:80" ht="15" customHeight="1">
      <c r="A38" s="92"/>
      <c r="B38" s="417"/>
      <c r="C38" s="417"/>
      <c r="D38" s="418"/>
      <c r="E38" s="422"/>
      <c r="F38" s="423"/>
      <c r="G38" s="423"/>
      <c r="H38" s="423"/>
      <c r="I38" s="423"/>
      <c r="J38" s="124" t="str">
        <f>IF(AND('[2]Mapa final'!$Y$24="Baja",'[2]Mapa final'!$AA$24="Leve"),CONCATENATE("R3C",'[2]Mapa final'!$O$24),"")</f>
        <v/>
      </c>
      <c r="K38" s="125" t="str">
        <f>IF(AND('[2]Mapa final'!$Y$25="Baja",'[2]Mapa final'!$AA$25="Leve"),CONCATENATE("R3C",'[2]Mapa final'!$O$25),"")</f>
        <v/>
      </c>
      <c r="L38" s="125" t="str">
        <f>IF(AND('[2]Mapa final'!$Y$26="Baja",'[2]Mapa final'!$AA$26="Leve"),CONCATENATE("R3C",'[2]Mapa final'!$O$26),"")</f>
        <v/>
      </c>
      <c r="M38" s="125" t="str">
        <f>IF(AND('[2]Mapa final'!$Y$27="Baja",'[2]Mapa final'!$AA$27="Leve"),CONCATENATE("R3C",'[2]Mapa final'!$O$27),"")</f>
        <v/>
      </c>
      <c r="N38" s="125" t="str">
        <f>IF(AND('[2]Mapa final'!$Y$28="Baja",'[2]Mapa final'!$AA$28="Leve"),CONCATENATE("R3C",'[2]Mapa final'!$O$28),"")</f>
        <v/>
      </c>
      <c r="O38" s="126" t="str">
        <f>IF(AND('[2]Mapa final'!$Y$29="Baja",'[2]Mapa final'!$AA$29="Leve"),CONCATENATE("R3C",'[2]Mapa final'!$O$29),"")</f>
        <v/>
      </c>
      <c r="P38" s="115" t="str">
        <f>IF(AND('[2]Mapa final'!$Y$24="Baja",'[2]Mapa final'!$AA$24="Menor"),CONCATENATE("R3C",'[2]Mapa final'!$O$24),"")</f>
        <v/>
      </c>
      <c r="Q38" s="116" t="str">
        <f>IF(AND('[2]Mapa final'!$Y$25="Baja",'[2]Mapa final'!$AA$25="Menor"),CONCATENATE("R3C",'[2]Mapa final'!$O$25),"")</f>
        <v/>
      </c>
      <c r="R38" s="116" t="str">
        <f>IF(AND('[2]Mapa final'!$Y$26="Baja",'[2]Mapa final'!$AA$26="Menor"),CONCATENATE("R3C",'[2]Mapa final'!$O$26),"")</f>
        <v/>
      </c>
      <c r="S38" s="116" t="str">
        <f>IF(AND('[2]Mapa final'!$Y$27="Baja",'[2]Mapa final'!$AA$27="Menor"),CONCATENATE("R3C",'[2]Mapa final'!$O$27),"")</f>
        <v/>
      </c>
      <c r="T38" s="116" t="str">
        <f>IF(AND('[2]Mapa final'!$Y$28="Baja",'[2]Mapa final'!$AA$28="Menor"),CONCATENATE("R3C",'[2]Mapa final'!$O$28),"")</f>
        <v/>
      </c>
      <c r="U38" s="117" t="str">
        <f>IF(AND('[2]Mapa final'!$Y$29="Baja",'[2]Mapa final'!$AA$29="Menor"),CONCATENATE("R3C",'[2]Mapa final'!$O$29),"")</f>
        <v/>
      </c>
      <c r="V38" s="115" t="str">
        <f>IF(AND('[2]Mapa final'!$Y$24="Baja",'[2]Mapa final'!$AA$24="Moderado"),CONCATENATE("R3C",'[2]Mapa final'!$O$24),"")</f>
        <v/>
      </c>
      <c r="W38" s="116" t="str">
        <f>IF(AND('[2]Mapa final'!$Y$25="Baja",'[2]Mapa final'!$AA$25="Moderado"),CONCATENATE("R3C",'[2]Mapa final'!$O$25),"")</f>
        <v/>
      </c>
      <c r="X38" s="116" t="str">
        <f>IF(AND('[2]Mapa final'!$Y$26="Baja",'[2]Mapa final'!$AA$26="Moderado"),CONCATENATE("R3C",'[2]Mapa final'!$O$26),"")</f>
        <v/>
      </c>
      <c r="Y38" s="116" t="str">
        <f>IF(AND('[2]Mapa final'!$Y$27="Baja",'[2]Mapa final'!$AA$27="Moderado"),CONCATENATE("R3C",'[2]Mapa final'!$O$27),"")</f>
        <v/>
      </c>
      <c r="Z38" s="116" t="str">
        <f>IF(AND('[2]Mapa final'!$Y$28="Baja",'[2]Mapa final'!$AA$28="Moderado"),CONCATENATE("R3C",'[2]Mapa final'!$O$28),"")</f>
        <v/>
      </c>
      <c r="AA38" s="117" t="str">
        <f>IF(AND('[2]Mapa final'!$Y$29="Baja",'[2]Mapa final'!$AA$29="Moderado"),CONCATENATE("R3C",'[2]Mapa final'!$O$29),"")</f>
        <v/>
      </c>
      <c r="AB38" s="100" t="str">
        <f>IF(AND('[2]Mapa final'!$Y$24="Baja",'[2]Mapa final'!$AA$24="Mayor"),CONCATENATE("R3C",'[2]Mapa final'!$O$24),"")</f>
        <v/>
      </c>
      <c r="AC38" s="101" t="str">
        <f>IF(AND('[2]Mapa final'!$Y$25="Baja",'[2]Mapa final'!$AA$25="Mayor"),CONCATENATE("R3C",'[2]Mapa final'!$O$25),"")</f>
        <v/>
      </c>
      <c r="AD38" s="101" t="str">
        <f>IF(AND('[2]Mapa final'!$Y$26="Baja",'[2]Mapa final'!$AA$26="Mayor"),CONCATENATE("R3C",'[2]Mapa final'!$O$26),"")</f>
        <v/>
      </c>
      <c r="AE38" s="101" t="str">
        <f>IF(AND('[2]Mapa final'!$Y$27="Baja",'[2]Mapa final'!$AA$27="Mayor"),CONCATENATE("R3C",'[2]Mapa final'!$O$27),"")</f>
        <v/>
      </c>
      <c r="AF38" s="101" t="str">
        <f>IF(AND('[2]Mapa final'!$Y$28="Baja",'[2]Mapa final'!$AA$28="Mayor"),CONCATENATE("R3C",'[2]Mapa final'!$O$28),"")</f>
        <v/>
      </c>
      <c r="AG38" s="102" t="str">
        <f>IF(AND('[2]Mapa final'!$Y$29="Baja",'[2]Mapa final'!$AA$29="Mayor"),CONCATENATE("R3C",'[2]Mapa final'!$O$29),"")</f>
        <v/>
      </c>
      <c r="AH38" s="103" t="str">
        <f>IF(AND('[2]Mapa final'!$Y$24="Baja",'[2]Mapa final'!$AA$24="Catastrófico"),CONCATENATE("R3C",'[2]Mapa final'!$O$24),"")</f>
        <v/>
      </c>
      <c r="AI38" s="104" t="str">
        <f>IF(AND('[2]Mapa final'!$Y$25="Baja",'[2]Mapa final'!$AA$25="Catastrófico"),CONCATENATE("R3C",'[2]Mapa final'!$O$25),"")</f>
        <v/>
      </c>
      <c r="AJ38" s="104" t="str">
        <f>IF(AND('[2]Mapa final'!$Y$26="Baja",'[2]Mapa final'!$AA$26="Catastrófico"),CONCATENATE("R3C",'[2]Mapa final'!$O$26),"")</f>
        <v/>
      </c>
      <c r="AK38" s="104" t="str">
        <f>IF(AND('[2]Mapa final'!$Y$27="Baja",'[2]Mapa final'!$AA$27="Catastrófico"),CONCATENATE("R3C",'[2]Mapa final'!$O$27),"")</f>
        <v/>
      </c>
      <c r="AL38" s="104" t="str">
        <f>IF(AND('[2]Mapa final'!$Y$28="Baja",'[2]Mapa final'!$AA$28="Catastrófico"),CONCATENATE("R3C",'[2]Mapa final'!$O$28),"")</f>
        <v/>
      </c>
      <c r="AM38" s="105" t="str">
        <f>IF(AND('[2]Mapa final'!$Y$29="Baja",'[2]Mapa final'!$AA$29="Catastrófico"),CONCATENATE("R3C",'[2]Mapa final'!$O$29),"")</f>
        <v/>
      </c>
      <c r="AN38" s="92"/>
      <c r="AO38" s="462"/>
      <c r="AP38" s="463"/>
      <c r="AQ38" s="463"/>
      <c r="AR38" s="463"/>
      <c r="AS38" s="463"/>
      <c r="AT38" s="464"/>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row>
    <row r="39" spans="1:80" ht="15" customHeight="1">
      <c r="A39" s="92"/>
      <c r="B39" s="417"/>
      <c r="C39" s="417"/>
      <c r="D39" s="418"/>
      <c r="E39" s="422"/>
      <c r="F39" s="423"/>
      <c r="G39" s="423"/>
      <c r="H39" s="423"/>
      <c r="I39" s="423"/>
      <c r="J39" s="124" t="e">
        <f>IF(AND('[2]Mapa final'!$Y$30="Baja",'[2]Mapa final'!$AA$30="Leve"),CONCATENATE("R4C",'[2]Mapa final'!$O$30),"")</f>
        <v>#REF!</v>
      </c>
      <c r="K39" s="125" t="str">
        <f>IF(AND('[2]Mapa final'!$Y$31="Baja",'[2]Mapa final'!$AA$31="Leve"),CONCATENATE("R4C",'[2]Mapa final'!$O$31),"")</f>
        <v/>
      </c>
      <c r="L39" s="125" t="str">
        <f>IF(AND('[2]Mapa final'!$Y$32="Baja",'[2]Mapa final'!$AA$32="Leve"),CONCATENATE("R4C",'[2]Mapa final'!$O$32),"")</f>
        <v/>
      </c>
      <c r="M39" s="125" t="str">
        <f>IF(AND('[2]Mapa final'!$Y$33="Baja",'[2]Mapa final'!$AA$33="Leve"),CONCATENATE("R4C",'[2]Mapa final'!$O$33),"")</f>
        <v/>
      </c>
      <c r="N39" s="125" t="str">
        <f>IF(AND('[2]Mapa final'!$Y$34="Baja",'[2]Mapa final'!$AA$34="Leve"),CONCATENATE("R4C",'[2]Mapa final'!$O$34),"")</f>
        <v/>
      </c>
      <c r="O39" s="126" t="str">
        <f>IF(AND('[2]Mapa final'!$Y$35="Baja",'[2]Mapa final'!$AA$35="Leve"),CONCATENATE("R4C",'[2]Mapa final'!$O$35),"")</f>
        <v/>
      </c>
      <c r="P39" s="115" t="e">
        <f>IF(AND('[2]Mapa final'!$Y$30="Baja",'[2]Mapa final'!$AA$30="Menor"),CONCATENATE("R4C",'[2]Mapa final'!$O$30),"")</f>
        <v>#REF!</v>
      </c>
      <c r="Q39" s="116" t="str">
        <f>IF(AND('[2]Mapa final'!$Y$31="Baja",'[2]Mapa final'!$AA$31="Menor"),CONCATENATE("R4C",'[2]Mapa final'!$O$31),"")</f>
        <v/>
      </c>
      <c r="R39" s="116" t="str">
        <f>IF(AND('[2]Mapa final'!$Y$32="Baja",'[2]Mapa final'!$AA$32="Menor"),CONCATENATE("R4C",'[2]Mapa final'!$O$32),"")</f>
        <v/>
      </c>
      <c r="S39" s="116" t="str">
        <f>IF(AND('[2]Mapa final'!$Y$33="Baja",'[2]Mapa final'!$AA$33="Menor"),CONCATENATE("R4C",'[2]Mapa final'!$O$33),"")</f>
        <v/>
      </c>
      <c r="T39" s="116" t="str">
        <f>IF(AND('[2]Mapa final'!$Y$34="Baja",'[2]Mapa final'!$AA$34="Menor"),CONCATENATE("R4C",'[2]Mapa final'!$O$34),"")</f>
        <v/>
      </c>
      <c r="U39" s="117" t="str">
        <f>IF(AND('[2]Mapa final'!$Y$35="Baja",'[2]Mapa final'!$AA$35="Menor"),CONCATENATE("R4C",'[2]Mapa final'!$O$35),"")</f>
        <v/>
      </c>
      <c r="V39" s="115" t="e">
        <f>IF(AND('[2]Mapa final'!$Y$30="Baja",'[2]Mapa final'!$AA$30="Moderado"),CONCATENATE("R4C",'[2]Mapa final'!$O$30),"")</f>
        <v>#REF!</v>
      </c>
      <c r="W39" s="116" t="str">
        <f>IF(AND('[2]Mapa final'!$Y$31="Baja",'[2]Mapa final'!$AA$31="Moderado"),CONCATENATE("R4C",'[2]Mapa final'!$O$31),"")</f>
        <v/>
      </c>
      <c r="X39" s="116" t="str">
        <f>IF(AND('[2]Mapa final'!$Y$32="Baja",'[2]Mapa final'!$AA$32="Moderado"),CONCATENATE("R4C",'[2]Mapa final'!$O$32),"")</f>
        <v/>
      </c>
      <c r="Y39" s="116" t="str">
        <f>IF(AND('[2]Mapa final'!$Y$33="Baja",'[2]Mapa final'!$AA$33="Moderado"),CONCATENATE("R4C",'[2]Mapa final'!$O$33),"")</f>
        <v/>
      </c>
      <c r="Z39" s="116" t="str">
        <f>IF(AND('[2]Mapa final'!$Y$34="Baja",'[2]Mapa final'!$AA$34="Moderado"),CONCATENATE("R4C",'[2]Mapa final'!$O$34),"")</f>
        <v/>
      </c>
      <c r="AA39" s="117" t="str">
        <f>IF(AND('[2]Mapa final'!$Y$35="Baja",'[2]Mapa final'!$AA$35="Moderado"),CONCATENATE("R4C",'[2]Mapa final'!$O$35),"")</f>
        <v/>
      </c>
      <c r="AB39" s="100" t="e">
        <f>IF(AND('[2]Mapa final'!$Y$30="Baja",'[2]Mapa final'!$AA$30="Mayor"),CONCATENATE("R4C",'[2]Mapa final'!$O$30),"")</f>
        <v>#REF!</v>
      </c>
      <c r="AC39" s="101" t="str">
        <f>IF(AND('[2]Mapa final'!$Y$31="Baja",'[2]Mapa final'!$AA$31="Mayor"),CONCATENATE("R4C",'[2]Mapa final'!$O$31),"")</f>
        <v/>
      </c>
      <c r="AD39" s="101" t="str">
        <f>IF(AND('[2]Mapa final'!$Y$32="Baja",'[2]Mapa final'!$AA$32="Mayor"),CONCATENATE("R4C",'[2]Mapa final'!$O$32),"")</f>
        <v/>
      </c>
      <c r="AE39" s="101" t="str">
        <f>IF(AND('[2]Mapa final'!$Y$33="Baja",'[2]Mapa final'!$AA$33="Mayor"),CONCATENATE("R4C",'[2]Mapa final'!$O$33),"")</f>
        <v/>
      </c>
      <c r="AF39" s="101" t="str">
        <f>IF(AND('[2]Mapa final'!$Y$34="Baja",'[2]Mapa final'!$AA$34="Mayor"),CONCATENATE("R4C",'[2]Mapa final'!$O$34),"")</f>
        <v/>
      </c>
      <c r="AG39" s="102" t="str">
        <f>IF(AND('[2]Mapa final'!$Y$35="Baja",'[2]Mapa final'!$AA$35="Mayor"),CONCATENATE("R4C",'[2]Mapa final'!$O$35),"")</f>
        <v/>
      </c>
      <c r="AH39" s="103" t="e">
        <f>IF(AND('[2]Mapa final'!$Y$30="Baja",'[2]Mapa final'!$AA$30="Catastrófico"),CONCATENATE("R4C",'[2]Mapa final'!$O$30),"")</f>
        <v>#REF!</v>
      </c>
      <c r="AI39" s="104" t="str">
        <f>IF(AND('[2]Mapa final'!$Y$31="Baja",'[2]Mapa final'!$AA$31="Catastrófico"),CONCATENATE("R4C",'[2]Mapa final'!$O$31),"")</f>
        <v/>
      </c>
      <c r="AJ39" s="104" t="str">
        <f>IF(AND('[2]Mapa final'!$Y$32="Baja",'[2]Mapa final'!$AA$32="Catastrófico"),CONCATENATE("R4C",'[2]Mapa final'!$O$32),"")</f>
        <v/>
      </c>
      <c r="AK39" s="104" t="str">
        <f>IF(AND('[2]Mapa final'!$Y$33="Baja",'[2]Mapa final'!$AA$33="Catastrófico"),CONCATENATE("R4C",'[2]Mapa final'!$O$33),"")</f>
        <v/>
      </c>
      <c r="AL39" s="104" t="str">
        <f>IF(AND('[2]Mapa final'!$Y$34="Baja",'[2]Mapa final'!$AA$34="Catastrófico"),CONCATENATE("R4C",'[2]Mapa final'!$O$34),"")</f>
        <v/>
      </c>
      <c r="AM39" s="105" t="str">
        <f>IF(AND('[2]Mapa final'!$Y$35="Baja",'[2]Mapa final'!$AA$35="Catastrófico"),CONCATENATE("R4C",'[2]Mapa final'!$O$35),"")</f>
        <v/>
      </c>
      <c r="AN39" s="92"/>
      <c r="AO39" s="462"/>
      <c r="AP39" s="463"/>
      <c r="AQ39" s="463"/>
      <c r="AR39" s="463"/>
      <c r="AS39" s="463"/>
      <c r="AT39" s="464"/>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row>
    <row r="40" spans="1:80" ht="15" customHeight="1">
      <c r="A40" s="92"/>
      <c r="B40" s="417"/>
      <c r="C40" s="417"/>
      <c r="D40" s="418"/>
      <c r="E40" s="422"/>
      <c r="F40" s="423"/>
      <c r="G40" s="423"/>
      <c r="H40" s="423"/>
      <c r="I40" s="423"/>
      <c r="J40" s="124" t="str">
        <f>IF(AND('[2]Mapa final'!$Y$36="Baja",'[2]Mapa final'!$AA$36="Leve"),CONCATENATE("R5C",'[2]Mapa final'!$O$36),"")</f>
        <v>R5C1</v>
      </c>
      <c r="K40" s="125" t="str">
        <f>IF(AND('[2]Mapa final'!$Y$37="Baja",'[2]Mapa final'!$AA$37="Leve"),CONCATENATE("R5C",'[2]Mapa final'!$O$37),"")</f>
        <v/>
      </c>
      <c r="L40" s="125" t="str">
        <f>IF(AND('[2]Mapa final'!$Y$38="Baja",'[2]Mapa final'!$AA$38="Leve"),CONCATENATE("R5C",'[2]Mapa final'!$O$38),"")</f>
        <v/>
      </c>
      <c r="M40" s="125" t="str">
        <f>IF(AND('[2]Mapa final'!$Y$39="Baja",'[2]Mapa final'!$AA$39="Leve"),CONCATENATE("R5C",'[2]Mapa final'!$O$39),"")</f>
        <v/>
      </c>
      <c r="N40" s="125" t="str">
        <f>IF(AND('[2]Mapa final'!$Y$40="Baja",'[2]Mapa final'!$AA$40="Leve"),CONCATENATE("R5C",'[2]Mapa final'!$O$40),"")</f>
        <v/>
      </c>
      <c r="O40" s="126" t="str">
        <f>IF(AND('[2]Mapa final'!$Y$41="Baja",'[2]Mapa final'!$AA$41="Leve"),CONCATENATE("R5C",'[2]Mapa final'!$O$41),"")</f>
        <v/>
      </c>
      <c r="P40" s="115" t="str">
        <f>IF(AND('[2]Mapa final'!$Y$36="Baja",'[2]Mapa final'!$AA$36="Menor"),CONCATENATE("R5C",'[2]Mapa final'!$O$36),"")</f>
        <v/>
      </c>
      <c r="Q40" s="116" t="str">
        <f>IF(AND('[2]Mapa final'!$Y$37="Baja",'[2]Mapa final'!$AA$37="Menor"),CONCATENATE("R5C",'[2]Mapa final'!$O$37),"")</f>
        <v/>
      </c>
      <c r="R40" s="116" t="str">
        <f>IF(AND('[2]Mapa final'!$Y$38="Baja",'[2]Mapa final'!$AA$38="Menor"),CONCATENATE("R5C",'[2]Mapa final'!$O$38),"")</f>
        <v/>
      </c>
      <c r="S40" s="116" t="str">
        <f>IF(AND('[2]Mapa final'!$Y$39="Baja",'[2]Mapa final'!$AA$39="Menor"),CONCATENATE("R5C",'[2]Mapa final'!$O$39),"")</f>
        <v/>
      </c>
      <c r="T40" s="116" t="str">
        <f>IF(AND('[2]Mapa final'!$Y$40="Baja",'[2]Mapa final'!$AA$40="Menor"),CONCATENATE("R5C",'[2]Mapa final'!$O$40),"")</f>
        <v/>
      </c>
      <c r="U40" s="117" t="str">
        <f>IF(AND('[2]Mapa final'!$Y$41="Baja",'[2]Mapa final'!$AA$41="Menor"),CONCATENATE("R5C",'[2]Mapa final'!$O$41),"")</f>
        <v/>
      </c>
      <c r="V40" s="115" t="str">
        <f>IF(AND('[2]Mapa final'!$Y$36="Baja",'[2]Mapa final'!$AA$36="Moderado"),CONCATENATE("R5C",'[2]Mapa final'!$O$36),"")</f>
        <v/>
      </c>
      <c r="W40" s="116" t="str">
        <f>IF(AND('[2]Mapa final'!$Y$37="Baja",'[2]Mapa final'!$AA$37="Moderado"),CONCATENATE("R5C",'[2]Mapa final'!$O$37),"")</f>
        <v/>
      </c>
      <c r="X40" s="116" t="str">
        <f>IF(AND('[2]Mapa final'!$Y$38="Baja",'[2]Mapa final'!$AA$38="Moderado"),CONCATENATE("R5C",'[2]Mapa final'!$O$38),"")</f>
        <v/>
      </c>
      <c r="Y40" s="116" t="str">
        <f>IF(AND('[2]Mapa final'!$Y$39="Baja",'[2]Mapa final'!$AA$39="Moderado"),CONCATENATE("R5C",'[2]Mapa final'!$O$39),"")</f>
        <v/>
      </c>
      <c r="Z40" s="116" t="str">
        <f>IF(AND('[2]Mapa final'!$Y$40="Baja",'[2]Mapa final'!$AA$40="Moderado"),CONCATENATE("R5C",'[2]Mapa final'!$O$40),"")</f>
        <v/>
      </c>
      <c r="AA40" s="117" t="str">
        <f>IF(AND('[2]Mapa final'!$Y$41="Baja",'[2]Mapa final'!$AA$41="Moderado"),CONCATENATE("R5C",'[2]Mapa final'!$O$41),"")</f>
        <v/>
      </c>
      <c r="AB40" s="100" t="str">
        <f>IF(AND('[2]Mapa final'!$Y$36="Baja",'[2]Mapa final'!$AA$36="Mayor"),CONCATENATE("R5C",'[2]Mapa final'!$O$36),"")</f>
        <v/>
      </c>
      <c r="AC40" s="101" t="str">
        <f>IF(AND('[2]Mapa final'!$Y$37="Baja",'[2]Mapa final'!$AA$37="Mayor"),CONCATENATE("R5C",'[2]Mapa final'!$O$37),"")</f>
        <v/>
      </c>
      <c r="AD40" s="101" t="str">
        <f>IF(AND('[2]Mapa final'!$Y$38="Baja",'[2]Mapa final'!$AA$38="Mayor"),CONCATENATE("R5C",'[2]Mapa final'!$O$38),"")</f>
        <v/>
      </c>
      <c r="AE40" s="101" t="str">
        <f>IF(AND('[2]Mapa final'!$Y$39="Baja",'[2]Mapa final'!$AA$39="Mayor"),CONCATENATE("R5C",'[2]Mapa final'!$O$39),"")</f>
        <v/>
      </c>
      <c r="AF40" s="101" t="str">
        <f>IF(AND('[2]Mapa final'!$Y$40="Baja",'[2]Mapa final'!$AA$40="Mayor"),CONCATENATE("R5C",'[2]Mapa final'!$O$40),"")</f>
        <v/>
      </c>
      <c r="AG40" s="102" t="str">
        <f>IF(AND('[2]Mapa final'!$Y$41="Baja",'[2]Mapa final'!$AA$41="Mayor"),CONCATENATE("R5C",'[2]Mapa final'!$O$41),"")</f>
        <v/>
      </c>
      <c r="AH40" s="103" t="str">
        <f>IF(AND('[2]Mapa final'!$Y$36="Baja",'[2]Mapa final'!$AA$36="Catastrófico"),CONCATENATE("R5C",'[2]Mapa final'!$O$36),"")</f>
        <v/>
      </c>
      <c r="AI40" s="104" t="str">
        <f>IF(AND('[2]Mapa final'!$Y$37="Baja",'[2]Mapa final'!$AA$37="Catastrófico"),CONCATENATE("R5C",'[2]Mapa final'!$O$37),"")</f>
        <v/>
      </c>
      <c r="AJ40" s="104" t="str">
        <f>IF(AND('[2]Mapa final'!$Y$38="Baja",'[2]Mapa final'!$AA$38="Catastrófico"),CONCATENATE("R5C",'[2]Mapa final'!$O$38),"")</f>
        <v/>
      </c>
      <c r="AK40" s="104" t="str">
        <f>IF(AND('[2]Mapa final'!$Y$39="Baja",'[2]Mapa final'!$AA$39="Catastrófico"),CONCATENATE("R5C",'[2]Mapa final'!$O$39),"")</f>
        <v/>
      </c>
      <c r="AL40" s="104" t="str">
        <f>IF(AND('[2]Mapa final'!$Y$40="Baja",'[2]Mapa final'!$AA$40="Catastrófico"),CONCATENATE("R5C",'[2]Mapa final'!$O$40),"")</f>
        <v/>
      </c>
      <c r="AM40" s="105" t="str">
        <f>IF(AND('[2]Mapa final'!$Y$41="Baja",'[2]Mapa final'!$AA$41="Catastrófico"),CONCATENATE("R5C",'[2]Mapa final'!$O$41),"")</f>
        <v/>
      </c>
      <c r="AN40" s="92"/>
      <c r="AO40" s="462"/>
      <c r="AP40" s="463"/>
      <c r="AQ40" s="463"/>
      <c r="AR40" s="463"/>
      <c r="AS40" s="463"/>
      <c r="AT40" s="464"/>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row>
    <row r="41" spans="1:80" ht="15" customHeight="1">
      <c r="A41" s="92"/>
      <c r="B41" s="417"/>
      <c r="C41" s="417"/>
      <c r="D41" s="418"/>
      <c r="E41" s="422"/>
      <c r="F41" s="423"/>
      <c r="G41" s="423"/>
      <c r="H41" s="423"/>
      <c r="I41" s="423"/>
      <c r="J41" s="124" t="str">
        <f>IF(AND('[2]Mapa final'!$Y$42="Baja",'[2]Mapa final'!$AA$42="Leve"),CONCATENATE("R6C",'[2]Mapa final'!$O$42),"")</f>
        <v/>
      </c>
      <c r="K41" s="125" t="str">
        <f>IF(AND('[2]Mapa final'!$Y$43="Baja",'[2]Mapa final'!$AA$43="Leve"),CONCATENATE("R6C",'[2]Mapa final'!$O$43),"")</f>
        <v/>
      </c>
      <c r="L41" s="125" t="str">
        <f>IF(AND('[2]Mapa final'!$Y$44="Baja",'[2]Mapa final'!$AA$44="Leve"),CONCATENATE("R6C",'[2]Mapa final'!$O$44),"")</f>
        <v/>
      </c>
      <c r="M41" s="125" t="str">
        <f>IF(AND('[2]Mapa final'!$Y$45="Baja",'[2]Mapa final'!$AA$45="Leve"),CONCATENATE("R6C",'[2]Mapa final'!$O$45),"")</f>
        <v/>
      </c>
      <c r="N41" s="125" t="str">
        <f>IF(AND('[2]Mapa final'!$Y$46="Baja",'[2]Mapa final'!$AA$46="Leve"),CONCATENATE("R6C",'[2]Mapa final'!$O$46),"")</f>
        <v/>
      </c>
      <c r="O41" s="126" t="str">
        <f>IF(AND('[2]Mapa final'!$Y$47="Baja",'[2]Mapa final'!$AA$47="Leve"),CONCATENATE("R6C",'[2]Mapa final'!$O$47),"")</f>
        <v/>
      </c>
      <c r="P41" s="115" t="str">
        <f>IF(AND('[2]Mapa final'!$Y$42="Baja",'[2]Mapa final'!$AA$42="Menor"),CONCATENATE("R6C",'[2]Mapa final'!$O$42),"")</f>
        <v/>
      </c>
      <c r="Q41" s="116" t="str">
        <f>IF(AND('[2]Mapa final'!$Y$43="Baja",'[2]Mapa final'!$AA$43="Menor"),CONCATENATE("R6C",'[2]Mapa final'!$O$43),"")</f>
        <v/>
      </c>
      <c r="R41" s="116" t="str">
        <f>IF(AND('[2]Mapa final'!$Y$44="Baja",'[2]Mapa final'!$AA$44="Menor"),CONCATENATE("R6C",'[2]Mapa final'!$O$44),"")</f>
        <v/>
      </c>
      <c r="S41" s="116" t="str">
        <f>IF(AND('[2]Mapa final'!$Y$45="Baja",'[2]Mapa final'!$AA$45="Menor"),CONCATENATE("R6C",'[2]Mapa final'!$O$45),"")</f>
        <v/>
      </c>
      <c r="T41" s="116" t="str">
        <f>IF(AND('[2]Mapa final'!$Y$46="Baja",'[2]Mapa final'!$AA$46="Menor"),CONCATENATE("R6C",'[2]Mapa final'!$O$46),"")</f>
        <v/>
      </c>
      <c r="U41" s="117" t="str">
        <f>IF(AND('[2]Mapa final'!$Y$47="Baja",'[2]Mapa final'!$AA$47="Menor"),CONCATENATE("R6C",'[2]Mapa final'!$O$47),"")</f>
        <v/>
      </c>
      <c r="V41" s="115" t="str">
        <f>IF(AND('[2]Mapa final'!$Y$42="Baja",'[2]Mapa final'!$AA$42="Moderado"),CONCATENATE("R6C",'[2]Mapa final'!$O$42),"")</f>
        <v/>
      </c>
      <c r="W41" s="116" t="str">
        <f>IF(AND('[2]Mapa final'!$Y$43="Baja",'[2]Mapa final'!$AA$43="Moderado"),CONCATENATE("R6C",'[2]Mapa final'!$O$43),"")</f>
        <v/>
      </c>
      <c r="X41" s="116" t="str">
        <f>IF(AND('[2]Mapa final'!$Y$44="Baja",'[2]Mapa final'!$AA$44="Moderado"),CONCATENATE("R6C",'[2]Mapa final'!$O$44),"")</f>
        <v/>
      </c>
      <c r="Y41" s="116" t="str">
        <f>IF(AND('[2]Mapa final'!$Y$45="Baja",'[2]Mapa final'!$AA$45="Moderado"),CONCATENATE("R6C",'[2]Mapa final'!$O$45),"")</f>
        <v/>
      </c>
      <c r="Z41" s="116" t="str">
        <f>IF(AND('[2]Mapa final'!$Y$46="Baja",'[2]Mapa final'!$AA$46="Moderado"),CONCATENATE("R6C",'[2]Mapa final'!$O$46),"")</f>
        <v/>
      </c>
      <c r="AA41" s="117" t="str">
        <f>IF(AND('[2]Mapa final'!$Y$47="Baja",'[2]Mapa final'!$AA$47="Moderado"),CONCATENATE("R6C",'[2]Mapa final'!$O$47),"")</f>
        <v/>
      </c>
      <c r="AB41" s="100" t="str">
        <f>IF(AND('[2]Mapa final'!$Y$42="Baja",'[2]Mapa final'!$AA$42="Mayor"),CONCATENATE("R6C",'[2]Mapa final'!$O$42),"")</f>
        <v/>
      </c>
      <c r="AC41" s="101" t="str">
        <f>IF(AND('[2]Mapa final'!$Y$43="Baja",'[2]Mapa final'!$AA$43="Mayor"),CONCATENATE("R6C",'[2]Mapa final'!$O$43),"")</f>
        <v/>
      </c>
      <c r="AD41" s="101" t="str">
        <f>IF(AND('[2]Mapa final'!$Y$44="Baja",'[2]Mapa final'!$AA$44="Mayor"),CONCATENATE("R6C",'[2]Mapa final'!$O$44),"")</f>
        <v/>
      </c>
      <c r="AE41" s="101" t="str">
        <f>IF(AND('[2]Mapa final'!$Y$45="Baja",'[2]Mapa final'!$AA$45="Mayor"),CONCATENATE("R6C",'[2]Mapa final'!$O$45),"")</f>
        <v/>
      </c>
      <c r="AF41" s="101" t="str">
        <f>IF(AND('[2]Mapa final'!$Y$46="Baja",'[2]Mapa final'!$AA$46="Mayor"),CONCATENATE("R6C",'[2]Mapa final'!$O$46),"")</f>
        <v/>
      </c>
      <c r="AG41" s="102" t="str">
        <f>IF(AND('[2]Mapa final'!$Y$47="Baja",'[2]Mapa final'!$AA$47="Mayor"),CONCATENATE("R6C",'[2]Mapa final'!$O$47),"")</f>
        <v/>
      </c>
      <c r="AH41" s="103" t="str">
        <f>IF(AND('[2]Mapa final'!$Y$42="Baja",'[2]Mapa final'!$AA$42="Catastrófico"),CONCATENATE("R6C",'[2]Mapa final'!$O$42),"")</f>
        <v/>
      </c>
      <c r="AI41" s="104" t="str">
        <f>IF(AND('[2]Mapa final'!$Y$43="Baja",'[2]Mapa final'!$AA$43="Catastrófico"),CONCATENATE("R6C",'[2]Mapa final'!$O$43),"")</f>
        <v/>
      </c>
      <c r="AJ41" s="104" t="str">
        <f>IF(AND('[2]Mapa final'!$Y$44="Baja",'[2]Mapa final'!$AA$44="Catastrófico"),CONCATENATE("R6C",'[2]Mapa final'!$O$44),"")</f>
        <v/>
      </c>
      <c r="AK41" s="104" t="str">
        <f>IF(AND('[2]Mapa final'!$Y$45="Baja",'[2]Mapa final'!$AA$45="Catastrófico"),CONCATENATE("R6C",'[2]Mapa final'!$O$45),"")</f>
        <v/>
      </c>
      <c r="AL41" s="104" t="str">
        <f>IF(AND('[2]Mapa final'!$Y$46="Baja",'[2]Mapa final'!$AA$46="Catastrófico"),CONCATENATE("R6C",'[2]Mapa final'!$O$46),"")</f>
        <v/>
      </c>
      <c r="AM41" s="105" t="str">
        <f>IF(AND('[2]Mapa final'!$Y$47="Baja",'[2]Mapa final'!$AA$47="Catastrófico"),CONCATENATE("R6C",'[2]Mapa final'!$O$47),"")</f>
        <v/>
      </c>
      <c r="AN41" s="92"/>
      <c r="AO41" s="462"/>
      <c r="AP41" s="463"/>
      <c r="AQ41" s="463"/>
      <c r="AR41" s="463"/>
      <c r="AS41" s="463"/>
      <c r="AT41" s="464"/>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row>
    <row r="42" spans="1:80" ht="15" customHeight="1">
      <c r="A42" s="92"/>
      <c r="B42" s="417"/>
      <c r="C42" s="417"/>
      <c r="D42" s="418"/>
      <c r="E42" s="422"/>
      <c r="F42" s="423"/>
      <c r="G42" s="423"/>
      <c r="H42" s="423"/>
      <c r="I42" s="423"/>
      <c r="J42" s="124" t="str">
        <f>IF(AND('[2]Mapa final'!$Y$48="Baja",'[2]Mapa final'!$AA$48="Leve"),CONCATENATE("R7C",'[2]Mapa final'!$O$48),"")</f>
        <v/>
      </c>
      <c r="K42" s="125" t="str">
        <f>IF(AND('[2]Mapa final'!$Y$49="Baja",'[2]Mapa final'!$AA$49="Leve"),CONCATENATE("R7C",'[2]Mapa final'!$O$49),"")</f>
        <v/>
      </c>
      <c r="L42" s="125" t="str">
        <f>IF(AND('[2]Mapa final'!$Y$50="Baja",'[2]Mapa final'!$AA$50="Leve"),CONCATENATE("R7C",'[2]Mapa final'!$O$50),"")</f>
        <v/>
      </c>
      <c r="M42" s="125" t="str">
        <f>IF(AND('[2]Mapa final'!$Y$51="Baja",'[2]Mapa final'!$AA$51="Leve"),CONCATENATE("R7C",'[2]Mapa final'!$O$51),"")</f>
        <v/>
      </c>
      <c r="N42" s="125" t="str">
        <f>IF(AND('[2]Mapa final'!$Y$52="Baja",'[2]Mapa final'!$AA$52="Leve"),CONCATENATE("R7C",'[2]Mapa final'!$O$52),"")</f>
        <v/>
      </c>
      <c r="O42" s="126" t="str">
        <f>IF(AND('[2]Mapa final'!$Y$53="Baja",'[2]Mapa final'!$AA$53="Leve"),CONCATENATE("R7C",'[2]Mapa final'!$O$53),"")</f>
        <v/>
      </c>
      <c r="P42" s="115" t="str">
        <f>IF(AND('[2]Mapa final'!$Y$48="Baja",'[2]Mapa final'!$AA$48="Menor"),CONCATENATE("R7C",'[2]Mapa final'!$O$48),"")</f>
        <v/>
      </c>
      <c r="Q42" s="116" t="str">
        <f>IF(AND('[2]Mapa final'!$Y$49="Baja",'[2]Mapa final'!$AA$49="Menor"),CONCATENATE("R7C",'[2]Mapa final'!$O$49),"")</f>
        <v/>
      </c>
      <c r="R42" s="116" t="str">
        <f>IF(AND('[2]Mapa final'!$Y$50="Baja",'[2]Mapa final'!$AA$50="Menor"),CONCATENATE("R7C",'[2]Mapa final'!$O$50),"")</f>
        <v/>
      </c>
      <c r="S42" s="116" t="str">
        <f>IF(AND('[2]Mapa final'!$Y$51="Baja",'[2]Mapa final'!$AA$51="Menor"),CONCATENATE("R7C",'[2]Mapa final'!$O$51),"")</f>
        <v/>
      </c>
      <c r="T42" s="116" t="str">
        <f>IF(AND('[2]Mapa final'!$Y$52="Baja",'[2]Mapa final'!$AA$52="Menor"),CONCATENATE("R7C",'[2]Mapa final'!$O$52),"")</f>
        <v/>
      </c>
      <c r="U42" s="117" t="str">
        <f>IF(AND('[2]Mapa final'!$Y$53="Baja",'[2]Mapa final'!$AA$53="Menor"),CONCATENATE("R7C",'[2]Mapa final'!$O$53),"")</f>
        <v/>
      </c>
      <c r="V42" s="115" t="str">
        <f>IF(AND('[2]Mapa final'!$Y$48="Baja",'[2]Mapa final'!$AA$48="Moderado"),CONCATENATE("R7C",'[2]Mapa final'!$O$48),"")</f>
        <v/>
      </c>
      <c r="W42" s="116" t="str">
        <f>IF(AND('[2]Mapa final'!$Y$49="Baja",'[2]Mapa final'!$AA$49="Moderado"),CONCATENATE("R7C",'[2]Mapa final'!$O$49),"")</f>
        <v/>
      </c>
      <c r="X42" s="116" t="str">
        <f>IF(AND('[2]Mapa final'!$Y$50="Baja",'[2]Mapa final'!$AA$50="Moderado"),CONCATENATE("R7C",'[2]Mapa final'!$O$50),"")</f>
        <v/>
      </c>
      <c r="Y42" s="116" t="str">
        <f>IF(AND('[2]Mapa final'!$Y$51="Baja",'[2]Mapa final'!$AA$51="Moderado"),CONCATENATE("R7C",'[2]Mapa final'!$O$51),"")</f>
        <v/>
      </c>
      <c r="Z42" s="116" t="str">
        <f>IF(AND('[2]Mapa final'!$Y$52="Baja",'[2]Mapa final'!$AA$52="Moderado"),CONCATENATE("R7C",'[2]Mapa final'!$O$52),"")</f>
        <v/>
      </c>
      <c r="AA42" s="117" t="str">
        <f>IF(AND('[2]Mapa final'!$Y$53="Baja",'[2]Mapa final'!$AA$53="Moderado"),CONCATENATE("R7C",'[2]Mapa final'!$O$53),"")</f>
        <v/>
      </c>
      <c r="AB42" s="100" t="str">
        <f>IF(AND('[2]Mapa final'!$Y$48="Baja",'[2]Mapa final'!$AA$48="Mayor"),CONCATENATE("R7C",'[2]Mapa final'!$O$48),"")</f>
        <v/>
      </c>
      <c r="AC42" s="101" t="str">
        <f>IF(AND('[2]Mapa final'!$Y$49="Baja",'[2]Mapa final'!$AA$49="Mayor"),CONCATENATE("R7C",'[2]Mapa final'!$O$49),"")</f>
        <v/>
      </c>
      <c r="AD42" s="101" t="str">
        <f>IF(AND('[2]Mapa final'!$Y$50="Baja",'[2]Mapa final'!$AA$50="Mayor"),CONCATENATE("R7C",'[2]Mapa final'!$O$50),"")</f>
        <v/>
      </c>
      <c r="AE42" s="101" t="str">
        <f>IF(AND('[2]Mapa final'!$Y$51="Baja",'[2]Mapa final'!$AA$51="Mayor"),CONCATENATE("R7C",'[2]Mapa final'!$O$51),"")</f>
        <v/>
      </c>
      <c r="AF42" s="101" t="str">
        <f>IF(AND('[2]Mapa final'!$Y$52="Baja",'[2]Mapa final'!$AA$52="Mayor"),CONCATENATE("R7C",'[2]Mapa final'!$O$52),"")</f>
        <v/>
      </c>
      <c r="AG42" s="102" t="str">
        <f>IF(AND('[2]Mapa final'!$Y$53="Baja",'[2]Mapa final'!$AA$53="Mayor"),CONCATENATE("R7C",'[2]Mapa final'!$O$53),"")</f>
        <v/>
      </c>
      <c r="AH42" s="103" t="str">
        <f>IF(AND('[2]Mapa final'!$Y$48="Baja",'[2]Mapa final'!$AA$48="Catastrófico"),CONCATENATE("R7C",'[2]Mapa final'!$O$48),"")</f>
        <v/>
      </c>
      <c r="AI42" s="104" t="str">
        <f>IF(AND('[2]Mapa final'!$Y$49="Baja",'[2]Mapa final'!$AA$49="Catastrófico"),CONCATENATE("R7C",'[2]Mapa final'!$O$49),"")</f>
        <v/>
      </c>
      <c r="AJ42" s="104" t="str">
        <f>IF(AND('[2]Mapa final'!$Y$50="Baja",'[2]Mapa final'!$AA$50="Catastrófico"),CONCATENATE("R7C",'[2]Mapa final'!$O$50),"")</f>
        <v/>
      </c>
      <c r="AK42" s="104" t="str">
        <f>IF(AND('[2]Mapa final'!$Y$51="Baja",'[2]Mapa final'!$AA$51="Catastrófico"),CONCATENATE("R7C",'[2]Mapa final'!$O$51),"")</f>
        <v/>
      </c>
      <c r="AL42" s="104" t="str">
        <f>IF(AND('[2]Mapa final'!$Y$52="Baja",'[2]Mapa final'!$AA$52="Catastrófico"),CONCATENATE("R7C",'[2]Mapa final'!$O$52),"")</f>
        <v/>
      </c>
      <c r="AM42" s="105" t="str">
        <f>IF(AND('[2]Mapa final'!$Y$53="Baja",'[2]Mapa final'!$AA$53="Catastrófico"),CONCATENATE("R7C",'[2]Mapa final'!$O$53),"")</f>
        <v/>
      </c>
      <c r="AN42" s="92"/>
      <c r="AO42" s="462"/>
      <c r="AP42" s="463"/>
      <c r="AQ42" s="463"/>
      <c r="AR42" s="463"/>
      <c r="AS42" s="463"/>
      <c r="AT42" s="464"/>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2"/>
      <c r="BS42" s="92"/>
      <c r="BT42" s="92"/>
      <c r="BU42" s="92"/>
      <c r="BV42" s="92"/>
      <c r="BW42" s="92"/>
      <c r="BX42" s="92"/>
    </row>
    <row r="43" spans="1:80" ht="15" customHeight="1">
      <c r="A43" s="92"/>
      <c r="B43" s="417"/>
      <c r="C43" s="417"/>
      <c r="D43" s="418"/>
      <c r="E43" s="422"/>
      <c r="F43" s="423"/>
      <c r="G43" s="423"/>
      <c r="H43" s="423"/>
      <c r="I43" s="423"/>
      <c r="J43" s="124" t="str">
        <f>IF(AND('[2]Mapa final'!$Y$54="Baja",'[2]Mapa final'!$AA$54="Leve"),CONCATENATE("R8C",'[2]Mapa final'!$O$54),"")</f>
        <v/>
      </c>
      <c r="K43" s="125" t="str">
        <f>IF(AND('[2]Mapa final'!$Y$55="Baja",'[2]Mapa final'!$AA$55="Leve"),CONCATENATE("R8C",'[2]Mapa final'!$O$55),"")</f>
        <v/>
      </c>
      <c r="L43" s="125" t="str">
        <f>IF(AND('[2]Mapa final'!$Y$56="Baja",'[2]Mapa final'!$AA$56="Leve"),CONCATENATE("R8C",'[2]Mapa final'!$O$56),"")</f>
        <v/>
      </c>
      <c r="M43" s="125" t="str">
        <f>IF(AND('[2]Mapa final'!$Y$57="Baja",'[2]Mapa final'!$AA$57="Leve"),CONCATENATE("R8C",'[2]Mapa final'!$O$57),"")</f>
        <v/>
      </c>
      <c r="N43" s="125" t="str">
        <f>IF(AND('[2]Mapa final'!$Y$58="Baja",'[2]Mapa final'!$AA$58="Leve"),CONCATENATE("R8C",'[2]Mapa final'!$O$58),"")</f>
        <v/>
      </c>
      <c r="O43" s="126" t="str">
        <f>IF(AND('[2]Mapa final'!$Y$59="Baja",'[2]Mapa final'!$AA$59="Leve"),CONCATENATE("R8C",'[2]Mapa final'!$O$59),"")</f>
        <v/>
      </c>
      <c r="P43" s="115" t="str">
        <f>IF(AND('[2]Mapa final'!$Y$54="Baja",'[2]Mapa final'!$AA$54="Menor"),CONCATENATE("R8C",'[2]Mapa final'!$O$54),"")</f>
        <v/>
      </c>
      <c r="Q43" s="116" t="str">
        <f>IF(AND('[2]Mapa final'!$Y$55="Baja",'[2]Mapa final'!$AA$55="Menor"),CONCATENATE("R8C",'[2]Mapa final'!$O$55),"")</f>
        <v/>
      </c>
      <c r="R43" s="116" t="str">
        <f>IF(AND('[2]Mapa final'!$Y$56="Baja",'[2]Mapa final'!$AA$56="Menor"),CONCATENATE("R8C",'[2]Mapa final'!$O$56),"")</f>
        <v/>
      </c>
      <c r="S43" s="116" t="str">
        <f>IF(AND('[2]Mapa final'!$Y$57="Baja",'[2]Mapa final'!$AA$57="Menor"),CONCATENATE("R8C",'[2]Mapa final'!$O$57),"")</f>
        <v/>
      </c>
      <c r="T43" s="116" t="str">
        <f>IF(AND('[2]Mapa final'!$Y$58="Baja",'[2]Mapa final'!$AA$58="Menor"),CONCATENATE("R8C",'[2]Mapa final'!$O$58),"")</f>
        <v/>
      </c>
      <c r="U43" s="117" t="str">
        <f>IF(AND('[2]Mapa final'!$Y$59="Baja",'[2]Mapa final'!$AA$59="Menor"),CONCATENATE("R8C",'[2]Mapa final'!$O$59),"")</f>
        <v/>
      </c>
      <c r="V43" s="115" t="str">
        <f>IF(AND('[2]Mapa final'!$Y$54="Baja",'[2]Mapa final'!$AA$54="Moderado"),CONCATENATE("R8C",'[2]Mapa final'!$O$54),"")</f>
        <v/>
      </c>
      <c r="W43" s="116" t="str">
        <f>IF(AND('[2]Mapa final'!$Y$55="Baja",'[2]Mapa final'!$AA$55="Moderado"),CONCATENATE("R8C",'[2]Mapa final'!$O$55),"")</f>
        <v/>
      </c>
      <c r="X43" s="116" t="str">
        <f>IF(AND('[2]Mapa final'!$Y$56="Baja",'[2]Mapa final'!$AA$56="Moderado"),CONCATENATE("R8C",'[2]Mapa final'!$O$56),"")</f>
        <v/>
      </c>
      <c r="Y43" s="116" t="str">
        <f>IF(AND('[2]Mapa final'!$Y$57="Baja",'[2]Mapa final'!$AA$57="Moderado"),CONCATENATE("R8C",'[2]Mapa final'!$O$57),"")</f>
        <v/>
      </c>
      <c r="Z43" s="116" t="str">
        <f>IF(AND('[2]Mapa final'!$Y$58="Baja",'[2]Mapa final'!$AA$58="Moderado"),CONCATENATE("R8C",'[2]Mapa final'!$O$58),"")</f>
        <v/>
      </c>
      <c r="AA43" s="117" t="str">
        <f>IF(AND('[2]Mapa final'!$Y$59="Baja",'[2]Mapa final'!$AA$59="Moderado"),CONCATENATE("R8C",'[2]Mapa final'!$O$59),"")</f>
        <v/>
      </c>
      <c r="AB43" s="100" t="str">
        <f>IF(AND('[2]Mapa final'!$Y$54="Baja",'[2]Mapa final'!$AA$54="Mayor"),CONCATENATE("R8C",'[2]Mapa final'!$O$54),"")</f>
        <v>R8C1</v>
      </c>
      <c r="AC43" s="101" t="str">
        <f>IF(AND('[2]Mapa final'!$Y$55="Baja",'[2]Mapa final'!$AA$55="Mayor"),CONCATENATE("R8C",'[2]Mapa final'!$O$55),"")</f>
        <v/>
      </c>
      <c r="AD43" s="101" t="str">
        <f>IF(AND('[2]Mapa final'!$Y$56="Baja",'[2]Mapa final'!$AA$56="Mayor"),CONCATENATE("R8C",'[2]Mapa final'!$O$56),"")</f>
        <v/>
      </c>
      <c r="AE43" s="101" t="str">
        <f>IF(AND('[2]Mapa final'!$Y$57="Baja",'[2]Mapa final'!$AA$57="Mayor"),CONCATENATE("R8C",'[2]Mapa final'!$O$57),"")</f>
        <v/>
      </c>
      <c r="AF43" s="101" t="str">
        <f>IF(AND('[2]Mapa final'!$Y$58="Baja",'[2]Mapa final'!$AA$58="Mayor"),CONCATENATE("R8C",'[2]Mapa final'!$O$58),"")</f>
        <v/>
      </c>
      <c r="AG43" s="102" t="str">
        <f>IF(AND('[2]Mapa final'!$Y$59="Baja",'[2]Mapa final'!$AA$59="Mayor"),CONCATENATE("R8C",'[2]Mapa final'!$O$59),"")</f>
        <v/>
      </c>
      <c r="AH43" s="103" t="str">
        <f>IF(AND('[2]Mapa final'!$Y$54="Baja",'[2]Mapa final'!$AA$54="Catastrófico"),CONCATENATE("R8C",'[2]Mapa final'!$O$54),"")</f>
        <v/>
      </c>
      <c r="AI43" s="104" t="str">
        <f>IF(AND('[2]Mapa final'!$Y$55="Baja",'[2]Mapa final'!$AA$55="Catastrófico"),CONCATENATE("R8C",'[2]Mapa final'!$O$55),"")</f>
        <v/>
      </c>
      <c r="AJ43" s="104" t="str">
        <f>IF(AND('[2]Mapa final'!$Y$56="Baja",'[2]Mapa final'!$AA$56="Catastrófico"),CONCATENATE("R8C",'[2]Mapa final'!$O$56),"")</f>
        <v/>
      </c>
      <c r="AK43" s="104" t="str">
        <f>IF(AND('[2]Mapa final'!$Y$57="Baja",'[2]Mapa final'!$AA$57="Catastrófico"),CONCATENATE("R8C",'[2]Mapa final'!$O$57),"")</f>
        <v/>
      </c>
      <c r="AL43" s="104" t="str">
        <f>IF(AND('[2]Mapa final'!$Y$58="Baja",'[2]Mapa final'!$AA$58="Catastrófico"),CONCATENATE("R8C",'[2]Mapa final'!$O$58),"")</f>
        <v/>
      </c>
      <c r="AM43" s="105" t="str">
        <f>IF(AND('[2]Mapa final'!$Y$59="Baja",'[2]Mapa final'!$AA$59="Catastrófico"),CONCATENATE("R8C",'[2]Mapa final'!$O$59),"")</f>
        <v/>
      </c>
      <c r="AN43" s="92"/>
      <c r="AO43" s="462"/>
      <c r="AP43" s="463"/>
      <c r="AQ43" s="463"/>
      <c r="AR43" s="463"/>
      <c r="AS43" s="463"/>
      <c r="AT43" s="464"/>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row>
    <row r="44" spans="1:80" ht="15" customHeight="1">
      <c r="A44" s="92"/>
      <c r="B44" s="417"/>
      <c r="C44" s="417"/>
      <c r="D44" s="418"/>
      <c r="E44" s="422"/>
      <c r="F44" s="423"/>
      <c r="G44" s="423"/>
      <c r="H44" s="423"/>
      <c r="I44" s="423"/>
      <c r="J44" s="124" t="str">
        <f>IF(AND('[2]Mapa final'!$Y$60="Baja",'[2]Mapa final'!$AA$60="Leve"),CONCATENATE("R9C",'[2]Mapa final'!$O$60),"")</f>
        <v/>
      </c>
      <c r="K44" s="125" t="str">
        <f>IF(AND('[2]Mapa final'!$Y$61="Baja",'[2]Mapa final'!$AA$61="Leve"),CONCATENATE("R9C",'[2]Mapa final'!$O$61),"")</f>
        <v/>
      </c>
      <c r="L44" s="125" t="str">
        <f>IF(AND('[2]Mapa final'!$Y$62="Baja",'[2]Mapa final'!$AA$62="Leve"),CONCATENATE("R9C",'[2]Mapa final'!$O$62),"")</f>
        <v/>
      </c>
      <c r="M44" s="125" t="str">
        <f>IF(AND('[2]Mapa final'!$Y$63="Baja",'[2]Mapa final'!$AA$63="Leve"),CONCATENATE("R9C",'[2]Mapa final'!$O$63),"")</f>
        <v/>
      </c>
      <c r="N44" s="125" t="str">
        <f>IF(AND('[2]Mapa final'!$Y$64="Baja",'[2]Mapa final'!$AA$64="Leve"),CONCATENATE("R9C",'[2]Mapa final'!$O$64),"")</f>
        <v/>
      </c>
      <c r="O44" s="126" t="str">
        <f>IF(AND('[2]Mapa final'!$Y$65="Baja",'[2]Mapa final'!$AA$65="Leve"),CONCATENATE("R9C",'[2]Mapa final'!$O$65),"")</f>
        <v/>
      </c>
      <c r="P44" s="115" t="str">
        <f>IF(AND('[2]Mapa final'!$Y$60="Baja",'[2]Mapa final'!$AA$60="Menor"),CONCATENATE("R9C",'[2]Mapa final'!$O$60),"")</f>
        <v/>
      </c>
      <c r="Q44" s="116" t="str">
        <f>IF(AND('[2]Mapa final'!$Y$61="Baja",'[2]Mapa final'!$AA$61="Menor"),CONCATENATE("R9C",'[2]Mapa final'!$O$61),"")</f>
        <v/>
      </c>
      <c r="R44" s="116" t="str">
        <f>IF(AND('[2]Mapa final'!$Y$62="Baja",'[2]Mapa final'!$AA$62="Menor"),CONCATENATE("R9C",'[2]Mapa final'!$O$62),"")</f>
        <v/>
      </c>
      <c r="S44" s="116" t="str">
        <f>IF(AND('[2]Mapa final'!$Y$63="Baja",'[2]Mapa final'!$AA$63="Menor"),CONCATENATE("R9C",'[2]Mapa final'!$O$63),"")</f>
        <v/>
      </c>
      <c r="T44" s="116" t="str">
        <f>IF(AND('[2]Mapa final'!$Y$64="Baja",'[2]Mapa final'!$AA$64="Menor"),CONCATENATE("R9C",'[2]Mapa final'!$O$64),"")</f>
        <v/>
      </c>
      <c r="U44" s="117" t="str">
        <f>IF(AND('[2]Mapa final'!$Y$65="Baja",'[2]Mapa final'!$AA$65="Menor"),CONCATENATE("R9C",'[2]Mapa final'!$O$65),"")</f>
        <v/>
      </c>
      <c r="V44" s="115" t="str">
        <f>IF(AND('[2]Mapa final'!$Y$60="Baja",'[2]Mapa final'!$AA$60="Moderado"),CONCATENATE("R9C",'[2]Mapa final'!$O$60),"")</f>
        <v/>
      </c>
      <c r="W44" s="116" t="str">
        <f>IF(AND('[2]Mapa final'!$Y$61="Baja",'[2]Mapa final'!$AA$61="Moderado"),CONCATENATE("R9C",'[2]Mapa final'!$O$61),"")</f>
        <v/>
      </c>
      <c r="X44" s="116" t="str">
        <f>IF(AND('[2]Mapa final'!$Y$62="Baja",'[2]Mapa final'!$AA$62="Moderado"),CONCATENATE("R9C",'[2]Mapa final'!$O$62),"")</f>
        <v/>
      </c>
      <c r="Y44" s="116" t="str">
        <f>IF(AND('[2]Mapa final'!$Y$63="Baja",'[2]Mapa final'!$AA$63="Moderado"),CONCATENATE("R9C",'[2]Mapa final'!$O$63),"")</f>
        <v/>
      </c>
      <c r="Z44" s="116" t="str">
        <f>IF(AND('[2]Mapa final'!$Y$64="Baja",'[2]Mapa final'!$AA$64="Moderado"),CONCATENATE("R9C",'[2]Mapa final'!$O$64),"")</f>
        <v/>
      </c>
      <c r="AA44" s="117" t="str">
        <f>IF(AND('[2]Mapa final'!$Y$65="Baja",'[2]Mapa final'!$AA$65="Moderado"),CONCATENATE("R9C",'[2]Mapa final'!$O$65),"")</f>
        <v/>
      </c>
      <c r="AB44" s="100" t="str">
        <f>IF(AND('[2]Mapa final'!$Y$60="Baja",'[2]Mapa final'!$AA$60="Mayor"),CONCATENATE("R9C",'[2]Mapa final'!$O$60),"")</f>
        <v/>
      </c>
      <c r="AC44" s="101" t="str">
        <f>IF(AND('[2]Mapa final'!$Y$61="Baja",'[2]Mapa final'!$AA$61="Mayor"),CONCATENATE("R9C",'[2]Mapa final'!$O$61),"")</f>
        <v/>
      </c>
      <c r="AD44" s="101" t="str">
        <f>IF(AND('[2]Mapa final'!$Y$62="Baja",'[2]Mapa final'!$AA$62="Mayor"),CONCATENATE("R9C",'[2]Mapa final'!$O$62),"")</f>
        <v/>
      </c>
      <c r="AE44" s="101" t="str">
        <f>IF(AND('[2]Mapa final'!$Y$63="Baja",'[2]Mapa final'!$AA$63="Mayor"),CONCATENATE("R9C",'[2]Mapa final'!$O$63),"")</f>
        <v/>
      </c>
      <c r="AF44" s="101" t="str">
        <f>IF(AND('[2]Mapa final'!$Y$64="Baja",'[2]Mapa final'!$AA$64="Mayor"),CONCATENATE("R9C",'[2]Mapa final'!$O$64),"")</f>
        <v/>
      </c>
      <c r="AG44" s="102" t="str">
        <f>IF(AND('[2]Mapa final'!$Y$65="Baja",'[2]Mapa final'!$AA$65="Mayor"),CONCATENATE("R9C",'[2]Mapa final'!$O$65),"")</f>
        <v/>
      </c>
      <c r="AH44" s="103" t="str">
        <f>IF(AND('[2]Mapa final'!$Y$60="Baja",'[2]Mapa final'!$AA$60="Catastrófico"),CONCATENATE("R9C",'[2]Mapa final'!$O$60),"")</f>
        <v/>
      </c>
      <c r="AI44" s="104" t="str">
        <f>IF(AND('[2]Mapa final'!$Y$61="Baja",'[2]Mapa final'!$AA$61="Catastrófico"),CONCATENATE("R9C",'[2]Mapa final'!$O$61),"")</f>
        <v/>
      </c>
      <c r="AJ44" s="104" t="str">
        <f>IF(AND('[2]Mapa final'!$Y$62="Baja",'[2]Mapa final'!$AA$62="Catastrófico"),CONCATENATE("R9C",'[2]Mapa final'!$O$62),"")</f>
        <v/>
      </c>
      <c r="AK44" s="104" t="str">
        <f>IF(AND('[2]Mapa final'!$Y$63="Baja",'[2]Mapa final'!$AA$63="Catastrófico"),CONCATENATE("R9C",'[2]Mapa final'!$O$63),"")</f>
        <v/>
      </c>
      <c r="AL44" s="104" t="str">
        <f>IF(AND('[2]Mapa final'!$Y$64="Baja",'[2]Mapa final'!$AA$64="Catastrófico"),CONCATENATE("R9C",'[2]Mapa final'!$O$64),"")</f>
        <v/>
      </c>
      <c r="AM44" s="105" t="str">
        <f>IF(AND('[2]Mapa final'!$Y$65="Baja",'[2]Mapa final'!$AA$65="Catastrófico"),CONCATENATE("R9C",'[2]Mapa final'!$O$65),"")</f>
        <v/>
      </c>
      <c r="AN44" s="92"/>
      <c r="AO44" s="462"/>
      <c r="AP44" s="463"/>
      <c r="AQ44" s="463"/>
      <c r="AR44" s="463"/>
      <c r="AS44" s="463"/>
      <c r="AT44" s="464"/>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row>
    <row r="45" spans="1:80" ht="15.75" customHeight="1" thickBot="1">
      <c r="A45" s="92"/>
      <c r="B45" s="417"/>
      <c r="C45" s="417"/>
      <c r="D45" s="418"/>
      <c r="E45" s="425"/>
      <c r="F45" s="426"/>
      <c r="G45" s="426"/>
      <c r="H45" s="426"/>
      <c r="I45" s="426"/>
      <c r="J45" s="127" t="str">
        <f>IF(AND('[2]Mapa final'!$Y$66="Baja",'[2]Mapa final'!$AA$66="Leve"),CONCATENATE("R10C",'[2]Mapa final'!$O$66),"")</f>
        <v/>
      </c>
      <c r="K45" s="128" t="str">
        <f>IF(AND('[2]Mapa final'!$Y$67="Baja",'[2]Mapa final'!$AA$67="Leve"),CONCATENATE("R10C",'[2]Mapa final'!$O$67),"")</f>
        <v/>
      </c>
      <c r="L45" s="128" t="str">
        <f>IF(AND('[2]Mapa final'!$Y$68="Baja",'[2]Mapa final'!$AA$68="Leve"),CONCATENATE("R10C",'[2]Mapa final'!$O$68),"")</f>
        <v/>
      </c>
      <c r="M45" s="128" t="str">
        <f>IF(AND('[2]Mapa final'!$Y$69="Baja",'[2]Mapa final'!$AA$69="Leve"),CONCATENATE("R10C",'[2]Mapa final'!$O$69),"")</f>
        <v/>
      </c>
      <c r="N45" s="128" t="str">
        <f>IF(AND('[2]Mapa final'!$Y$70="Baja",'[2]Mapa final'!$AA$70="Leve"),CONCATENATE("R10C",'[2]Mapa final'!$O$70),"")</f>
        <v/>
      </c>
      <c r="O45" s="129" t="str">
        <f>IF(AND('[2]Mapa final'!$Y$71="Baja",'[2]Mapa final'!$AA$71="Leve"),CONCATENATE("R10C",'[2]Mapa final'!$O$71),"")</f>
        <v/>
      </c>
      <c r="P45" s="115" t="str">
        <f>IF(AND('[2]Mapa final'!$Y$66="Baja",'[2]Mapa final'!$AA$66="Menor"),CONCATENATE("R10C",'[2]Mapa final'!$O$66),"")</f>
        <v/>
      </c>
      <c r="Q45" s="116" t="str">
        <f>IF(AND('[2]Mapa final'!$Y$67="Baja",'[2]Mapa final'!$AA$67="Menor"),CONCATENATE("R10C",'[2]Mapa final'!$O$67),"")</f>
        <v/>
      </c>
      <c r="R45" s="116" t="str">
        <f>IF(AND('[2]Mapa final'!$Y$68="Baja",'[2]Mapa final'!$AA$68="Menor"),CONCATENATE("R10C",'[2]Mapa final'!$O$68),"")</f>
        <v/>
      </c>
      <c r="S45" s="116" t="str">
        <f>IF(AND('[2]Mapa final'!$Y$69="Baja",'[2]Mapa final'!$AA$69="Menor"),CONCATENATE("R10C",'[2]Mapa final'!$O$69),"")</f>
        <v/>
      </c>
      <c r="T45" s="116" t="str">
        <f>IF(AND('[2]Mapa final'!$Y$70="Baja",'[2]Mapa final'!$AA$70="Menor"),CONCATENATE("R10C",'[2]Mapa final'!$O$70),"")</f>
        <v/>
      </c>
      <c r="U45" s="117" t="str">
        <f>IF(AND('[2]Mapa final'!$Y$71="Baja",'[2]Mapa final'!$AA$71="Menor"),CONCATENATE("R10C",'[2]Mapa final'!$O$71),"")</f>
        <v/>
      </c>
      <c r="V45" s="118" t="str">
        <f>IF(AND('[2]Mapa final'!$Y$66="Baja",'[2]Mapa final'!$AA$66="Moderado"),CONCATENATE("R10C",'[2]Mapa final'!$O$66),"")</f>
        <v/>
      </c>
      <c r="W45" s="119" t="str">
        <f>IF(AND('[2]Mapa final'!$Y$67="Baja",'[2]Mapa final'!$AA$67="Moderado"),CONCATENATE("R10C",'[2]Mapa final'!$O$67),"")</f>
        <v/>
      </c>
      <c r="X45" s="119" t="str">
        <f>IF(AND('[2]Mapa final'!$Y$68="Baja",'[2]Mapa final'!$AA$68="Moderado"),CONCATENATE("R10C",'[2]Mapa final'!$O$68),"")</f>
        <v/>
      </c>
      <c r="Y45" s="119" t="str">
        <f>IF(AND('[2]Mapa final'!$Y$69="Baja",'[2]Mapa final'!$AA$69="Moderado"),CONCATENATE("R10C",'[2]Mapa final'!$O$69),"")</f>
        <v/>
      </c>
      <c r="Z45" s="119" t="str">
        <f>IF(AND('[2]Mapa final'!$Y$70="Baja",'[2]Mapa final'!$AA$70="Moderado"),CONCATENATE("R10C",'[2]Mapa final'!$O$70),"")</f>
        <v/>
      </c>
      <c r="AA45" s="120" t="str">
        <f>IF(AND('[2]Mapa final'!$Y$71="Baja",'[2]Mapa final'!$AA$71="Moderado"),CONCATENATE("R10C",'[2]Mapa final'!$O$71),"")</f>
        <v/>
      </c>
      <c r="AB45" s="106" t="str">
        <f>IF(AND('[2]Mapa final'!$Y$66="Baja",'[2]Mapa final'!$AA$66="Mayor"),CONCATENATE("R10C",'[2]Mapa final'!$O$66),"")</f>
        <v/>
      </c>
      <c r="AC45" s="107" t="str">
        <f>IF(AND('[2]Mapa final'!$Y$67="Baja",'[2]Mapa final'!$AA$67="Mayor"),CONCATENATE("R10C",'[2]Mapa final'!$O$67),"")</f>
        <v/>
      </c>
      <c r="AD45" s="107" t="str">
        <f>IF(AND('[2]Mapa final'!$Y$68="Baja",'[2]Mapa final'!$AA$68="Mayor"),CONCATENATE("R10C",'[2]Mapa final'!$O$68),"")</f>
        <v/>
      </c>
      <c r="AE45" s="107" t="str">
        <f>IF(AND('[2]Mapa final'!$Y$69="Baja",'[2]Mapa final'!$AA$69="Mayor"),CONCATENATE("R10C",'[2]Mapa final'!$O$69),"")</f>
        <v/>
      </c>
      <c r="AF45" s="107" t="str">
        <f>IF(AND('[2]Mapa final'!$Y$70="Baja",'[2]Mapa final'!$AA$70="Mayor"),CONCATENATE("R10C",'[2]Mapa final'!$O$70),"")</f>
        <v/>
      </c>
      <c r="AG45" s="108" t="str">
        <f>IF(AND('[2]Mapa final'!$Y$71="Baja",'[2]Mapa final'!$AA$71="Mayor"),CONCATENATE("R10C",'[2]Mapa final'!$O$71),"")</f>
        <v/>
      </c>
      <c r="AH45" s="109" t="str">
        <f>IF(AND('[2]Mapa final'!$Y$66="Baja",'[2]Mapa final'!$AA$66="Catastrófico"),CONCATENATE("R10C",'[2]Mapa final'!$O$66),"")</f>
        <v/>
      </c>
      <c r="AI45" s="110" t="str">
        <f>IF(AND('[2]Mapa final'!$Y$67="Baja",'[2]Mapa final'!$AA$67="Catastrófico"),CONCATENATE("R10C",'[2]Mapa final'!$O$67),"")</f>
        <v/>
      </c>
      <c r="AJ45" s="110" t="str">
        <f>IF(AND('[2]Mapa final'!$Y$68="Baja",'[2]Mapa final'!$AA$68="Catastrófico"),CONCATENATE("R10C",'[2]Mapa final'!$O$68),"")</f>
        <v/>
      </c>
      <c r="AK45" s="110" t="str">
        <f>IF(AND('[2]Mapa final'!$Y$69="Baja",'[2]Mapa final'!$AA$69="Catastrófico"),CONCATENATE("R10C",'[2]Mapa final'!$O$69),"")</f>
        <v/>
      </c>
      <c r="AL45" s="110" t="str">
        <f>IF(AND('[2]Mapa final'!$Y$70="Baja",'[2]Mapa final'!$AA$70="Catastrófico"),CONCATENATE("R10C",'[2]Mapa final'!$O$70),"")</f>
        <v/>
      </c>
      <c r="AM45" s="111" t="str">
        <f>IF(AND('[2]Mapa final'!$Y$71="Baja",'[2]Mapa final'!$AA$71="Catastrófico"),CONCATENATE("R10C",'[2]Mapa final'!$O$71),"")</f>
        <v/>
      </c>
      <c r="AN45" s="92"/>
      <c r="AO45" s="465"/>
      <c r="AP45" s="466"/>
      <c r="AQ45" s="466"/>
      <c r="AR45" s="466"/>
      <c r="AS45" s="466"/>
      <c r="AT45" s="467"/>
    </row>
    <row r="46" spans="1:80" ht="46.5" customHeight="1">
      <c r="A46" s="92"/>
      <c r="B46" s="417"/>
      <c r="C46" s="417"/>
      <c r="D46" s="418"/>
      <c r="E46" s="419" t="s">
        <v>527</v>
      </c>
      <c r="F46" s="420"/>
      <c r="G46" s="420"/>
      <c r="H46" s="420"/>
      <c r="I46" s="421"/>
      <c r="J46" s="121" t="str">
        <f>IF(AND('[2]Mapa final'!$Y$12="Muy Baja",'[2]Mapa final'!$AA$12="Leve"),CONCATENATE("R1C",'[2]Mapa final'!$O$12),"")</f>
        <v/>
      </c>
      <c r="K46" s="122" t="str">
        <f>IF(AND('[2]Mapa final'!$Y$13="Muy Baja",'[2]Mapa final'!$AA$13="Leve"),CONCATENATE("R1C",'[2]Mapa final'!$O$13),"")</f>
        <v/>
      </c>
      <c r="L46" s="122" t="str">
        <f>IF(AND('[2]Mapa final'!$Y$14="Muy Baja",'[2]Mapa final'!$AA$14="Leve"),CONCATENATE("R1C",'[2]Mapa final'!$O$14),"")</f>
        <v/>
      </c>
      <c r="M46" s="122" t="str">
        <f>IF(AND('[2]Mapa final'!$Y$15="Muy Baja",'[2]Mapa final'!$AA$15="Leve"),CONCATENATE("R1C",'[2]Mapa final'!$O$15),"")</f>
        <v/>
      </c>
      <c r="N46" s="122" t="str">
        <f>IF(AND('[2]Mapa final'!$Y$16="Muy Baja",'[2]Mapa final'!$AA$16="Leve"),CONCATENATE("R1C",'[2]Mapa final'!$O$16),"")</f>
        <v/>
      </c>
      <c r="O46" s="123" t="str">
        <f>IF(AND('[2]Mapa final'!$Y$17="Muy Baja",'[2]Mapa final'!$AA$17="Leve"),CONCATENATE("R1C",'[2]Mapa final'!$O$17),"")</f>
        <v/>
      </c>
      <c r="P46" s="121" t="str">
        <f>IF(AND('[2]Mapa final'!$Y$12="Muy Baja",'[2]Mapa final'!$AA$12="Menor"),CONCATENATE("R1C",'[2]Mapa final'!$O$12),"")</f>
        <v/>
      </c>
      <c r="Q46" s="122" t="str">
        <f>IF(AND('[2]Mapa final'!$Y$13="Muy Baja",'[2]Mapa final'!$AA$13="Menor"),CONCATENATE("R1C",'[2]Mapa final'!$O$13),"")</f>
        <v/>
      </c>
      <c r="R46" s="122" t="str">
        <f>IF(AND('[2]Mapa final'!$Y$14="Muy Baja",'[2]Mapa final'!$AA$14="Menor"),CONCATENATE("R1C",'[2]Mapa final'!$O$14),"")</f>
        <v/>
      </c>
      <c r="S46" s="122" t="str">
        <f>IF(AND('[2]Mapa final'!$Y$15="Muy Baja",'[2]Mapa final'!$AA$15="Menor"),CONCATENATE("R1C",'[2]Mapa final'!$O$15),"")</f>
        <v/>
      </c>
      <c r="T46" s="122" t="str">
        <f>IF(AND('[2]Mapa final'!$Y$16="Muy Baja",'[2]Mapa final'!$AA$16="Menor"),CONCATENATE("R1C",'[2]Mapa final'!$O$16),"")</f>
        <v/>
      </c>
      <c r="U46" s="123" t="str">
        <f>IF(AND('[2]Mapa final'!$Y$17="Muy Baja",'[2]Mapa final'!$AA$17="Menor"),CONCATENATE("R1C",'[2]Mapa final'!$O$17),"")</f>
        <v/>
      </c>
      <c r="V46" s="112" t="str">
        <f>IF(AND('[2]Mapa final'!$Y$12="Muy Baja",'[2]Mapa final'!$AA$12="Moderado"),CONCATENATE("R1C",'[2]Mapa final'!$O$12),"")</f>
        <v/>
      </c>
      <c r="W46" s="130" t="str">
        <f>IF(AND('[2]Mapa final'!$Y$13="Muy Baja",'[2]Mapa final'!$AA$13="Moderado"),CONCATENATE("R1C",'[2]Mapa final'!$O$13),"")</f>
        <v/>
      </c>
      <c r="X46" s="113" t="str">
        <f>IF(AND('[2]Mapa final'!$Y$14="Muy Baja",'[2]Mapa final'!$AA$14="Moderado"),CONCATENATE("R1C",'[2]Mapa final'!$O$14),"")</f>
        <v/>
      </c>
      <c r="Y46" s="113" t="str">
        <f>IF(AND('[2]Mapa final'!$Y$15="Muy Baja",'[2]Mapa final'!$AA$15="Moderado"),CONCATENATE("R1C",'[2]Mapa final'!$O$15),"")</f>
        <v/>
      </c>
      <c r="Z46" s="113" t="str">
        <f>IF(AND('[2]Mapa final'!$Y$16="Muy Baja",'[2]Mapa final'!$AA$16="Moderado"),CONCATENATE("R1C",'[2]Mapa final'!$O$16),"")</f>
        <v/>
      </c>
      <c r="AA46" s="114" t="str">
        <f>IF(AND('[2]Mapa final'!$Y$17="Muy Baja",'[2]Mapa final'!$AA$17="Moderado"),CONCATENATE("R1C",'[2]Mapa final'!$O$17),"")</f>
        <v/>
      </c>
      <c r="AB46" s="94" t="str">
        <f>IF(AND('[2]Mapa final'!$Y$12="Muy Baja",'[2]Mapa final'!$AA$12="Mayor"),CONCATENATE("R1C",'[2]Mapa final'!$O$12),"")</f>
        <v/>
      </c>
      <c r="AC46" s="95" t="str">
        <f>IF(AND('[2]Mapa final'!$Y$13="Muy Baja",'[2]Mapa final'!$AA$13="Mayor"),CONCATENATE("R1C",'[2]Mapa final'!$O$13),"")</f>
        <v/>
      </c>
      <c r="AD46" s="95" t="str">
        <f>IF(AND('[2]Mapa final'!$Y$14="Muy Baja",'[2]Mapa final'!$AA$14="Mayor"),CONCATENATE("R1C",'[2]Mapa final'!$O$14),"")</f>
        <v/>
      </c>
      <c r="AE46" s="95" t="str">
        <f>IF(AND('[2]Mapa final'!$Y$15="Muy Baja",'[2]Mapa final'!$AA$15="Mayor"),CONCATENATE("R1C",'[2]Mapa final'!$O$15),"")</f>
        <v/>
      </c>
      <c r="AF46" s="95" t="str">
        <f>IF(AND('[2]Mapa final'!$Y$16="Muy Baja",'[2]Mapa final'!$AA$16="Mayor"),CONCATENATE("R1C",'[2]Mapa final'!$O$16),"")</f>
        <v/>
      </c>
      <c r="AG46" s="96" t="str">
        <f>IF(AND('[2]Mapa final'!$Y$17="Muy Baja",'[2]Mapa final'!$AA$17="Mayor"),CONCATENATE("R1C",'[2]Mapa final'!$O$17),"")</f>
        <v/>
      </c>
      <c r="AH46" s="97" t="str">
        <f>IF(AND('[2]Mapa final'!$Y$12="Muy Baja",'[2]Mapa final'!$AA$12="Catastrófico"),CONCATENATE("R1C",'[2]Mapa final'!$O$12),"")</f>
        <v/>
      </c>
      <c r="AI46" s="98" t="str">
        <f>IF(AND('[2]Mapa final'!$Y$13="Muy Baja",'[2]Mapa final'!$AA$13="Catastrófico"),CONCATENATE("R1C",'[2]Mapa final'!$O$13),"")</f>
        <v/>
      </c>
      <c r="AJ46" s="98" t="str">
        <f>IF(AND('[2]Mapa final'!$Y$14="Muy Baja",'[2]Mapa final'!$AA$14="Catastrófico"),CONCATENATE("R1C",'[2]Mapa final'!$O$14),"")</f>
        <v/>
      </c>
      <c r="AK46" s="98" t="str">
        <f>IF(AND('[2]Mapa final'!$Y$15="Muy Baja",'[2]Mapa final'!$AA$15="Catastrófico"),CONCATENATE("R1C",'[2]Mapa final'!$O$15),"")</f>
        <v/>
      </c>
      <c r="AL46" s="98" t="str">
        <f>IF(AND('[2]Mapa final'!$Y$16="Muy Baja",'[2]Mapa final'!$AA$16="Catastrófico"),CONCATENATE("R1C",'[2]Mapa final'!$O$16),"")</f>
        <v/>
      </c>
      <c r="AM46" s="99" t="str">
        <f>IF(AND('[2]Mapa final'!$Y$17="Muy Baja",'[2]Mapa final'!$AA$17="Catastrófico"),CONCATENATE("R1C",'[2]Mapa final'!$O$17),"")</f>
        <v/>
      </c>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row>
    <row r="47" spans="1:80" ht="46.5" customHeight="1">
      <c r="A47" s="92"/>
      <c r="B47" s="417"/>
      <c r="C47" s="417"/>
      <c r="D47" s="418"/>
      <c r="E47" s="440"/>
      <c r="F47" s="423"/>
      <c r="G47" s="423"/>
      <c r="H47" s="423"/>
      <c r="I47" s="424"/>
      <c r="J47" s="124" t="str">
        <f>IF(AND('[2]Mapa final'!$Y$18="Muy Baja",'[2]Mapa final'!$AA$18="Leve"),CONCATENATE("R2C",'[2]Mapa final'!$O$18),"")</f>
        <v/>
      </c>
      <c r="K47" s="125" t="str">
        <f>IF(AND('[2]Mapa final'!$Y$19="Muy Baja",'[2]Mapa final'!$AA$19="Leve"),CONCATENATE("R2C",'[2]Mapa final'!$O$19),"")</f>
        <v/>
      </c>
      <c r="L47" s="125" t="str">
        <f>IF(AND('[2]Mapa final'!$Y$20="Muy Baja",'[2]Mapa final'!$AA$20="Leve"),CONCATENATE("R2C",'[2]Mapa final'!$O$20),"")</f>
        <v/>
      </c>
      <c r="M47" s="125" t="str">
        <f>IF(AND('[2]Mapa final'!$Y$21="Muy Baja",'[2]Mapa final'!$AA$21="Leve"),CONCATENATE("R2C",'[2]Mapa final'!$O$21),"")</f>
        <v/>
      </c>
      <c r="N47" s="125" t="str">
        <f>IF(AND('[2]Mapa final'!$Y$22="Muy Baja",'[2]Mapa final'!$AA$22="Leve"),CONCATENATE("R2C",'[2]Mapa final'!$O$22),"")</f>
        <v/>
      </c>
      <c r="O47" s="126" t="str">
        <f>IF(AND('[2]Mapa final'!$Y$23="Muy Baja",'[2]Mapa final'!$AA$23="Leve"),CONCATENATE("R2C",'[2]Mapa final'!$O$23),"")</f>
        <v/>
      </c>
      <c r="P47" s="124" t="str">
        <f>IF(AND('[2]Mapa final'!$Y$18="Muy Baja",'[2]Mapa final'!$AA$18="Menor"),CONCATENATE("R2C",'[2]Mapa final'!$O$18),"")</f>
        <v/>
      </c>
      <c r="Q47" s="125" t="str">
        <f>IF(AND('[2]Mapa final'!$Y$19="Muy Baja",'[2]Mapa final'!$AA$19="Menor"),CONCATENATE("R2C",'[2]Mapa final'!$O$19),"")</f>
        <v/>
      </c>
      <c r="R47" s="125" t="str">
        <f>IF(AND('[2]Mapa final'!$Y$20="Muy Baja",'[2]Mapa final'!$AA$20="Menor"),CONCATENATE("R2C",'[2]Mapa final'!$O$20),"")</f>
        <v/>
      </c>
      <c r="S47" s="125" t="str">
        <f>IF(AND('[2]Mapa final'!$Y$21="Muy Baja",'[2]Mapa final'!$AA$21="Menor"),CONCATENATE("R2C",'[2]Mapa final'!$O$21),"")</f>
        <v/>
      </c>
      <c r="T47" s="125" t="str">
        <f>IF(AND('[2]Mapa final'!$Y$22="Muy Baja",'[2]Mapa final'!$AA$22="Menor"),CONCATENATE("R2C",'[2]Mapa final'!$O$22),"")</f>
        <v/>
      </c>
      <c r="U47" s="126" t="str">
        <f>IF(AND('[2]Mapa final'!$Y$23="Muy Baja",'[2]Mapa final'!$AA$23="Menor"),CONCATENATE("R2C",'[2]Mapa final'!$O$23),"")</f>
        <v/>
      </c>
      <c r="V47" s="115" t="str">
        <f>IF(AND('[2]Mapa final'!$Y$18="Muy Baja",'[2]Mapa final'!$AA$18="Moderado"),CONCATENATE("R2C",'[2]Mapa final'!$O$18),"")</f>
        <v/>
      </c>
      <c r="W47" s="116" t="str">
        <f>IF(AND('[2]Mapa final'!$Y$19="Muy Baja",'[2]Mapa final'!$AA$19="Moderado"),CONCATENATE("R2C",'[2]Mapa final'!$O$19),"")</f>
        <v/>
      </c>
      <c r="X47" s="116" t="str">
        <f>IF(AND('[2]Mapa final'!$Y$20="Muy Baja",'[2]Mapa final'!$AA$20="Moderado"),CONCATENATE("R2C",'[2]Mapa final'!$O$20),"")</f>
        <v/>
      </c>
      <c r="Y47" s="116" t="str">
        <f>IF(AND('[2]Mapa final'!$Y$21="Muy Baja",'[2]Mapa final'!$AA$21="Moderado"),CONCATENATE("R2C",'[2]Mapa final'!$O$21),"")</f>
        <v/>
      </c>
      <c r="Z47" s="116" t="str">
        <f>IF(AND('[2]Mapa final'!$Y$22="Muy Baja",'[2]Mapa final'!$AA$22="Moderado"),CONCATENATE("R2C",'[2]Mapa final'!$O$22),"")</f>
        <v/>
      </c>
      <c r="AA47" s="117" t="str">
        <f>IF(AND('[2]Mapa final'!$Y$23="Muy Baja",'[2]Mapa final'!$AA$23="Moderado"),CONCATENATE("R2C",'[2]Mapa final'!$O$23),"")</f>
        <v/>
      </c>
      <c r="AB47" s="100" t="str">
        <f>IF(AND('[2]Mapa final'!$Y$18="Muy Baja",'[2]Mapa final'!$AA$18="Mayor"),CONCATENATE("R2C",'[2]Mapa final'!$O$18),"")</f>
        <v/>
      </c>
      <c r="AC47" s="101" t="str">
        <f>IF(AND('[2]Mapa final'!$Y$19="Muy Baja",'[2]Mapa final'!$AA$19="Mayor"),CONCATENATE("R2C",'[2]Mapa final'!$O$19),"")</f>
        <v/>
      </c>
      <c r="AD47" s="101" t="str">
        <f>IF(AND('[2]Mapa final'!$Y$20="Muy Baja",'[2]Mapa final'!$AA$20="Mayor"),CONCATENATE("R2C",'[2]Mapa final'!$O$20),"")</f>
        <v/>
      </c>
      <c r="AE47" s="101" t="str">
        <f>IF(AND('[2]Mapa final'!$Y$21="Muy Baja",'[2]Mapa final'!$AA$21="Mayor"),CONCATENATE("R2C",'[2]Mapa final'!$O$21),"")</f>
        <v/>
      </c>
      <c r="AF47" s="101" t="str">
        <f>IF(AND('[2]Mapa final'!$Y$22="Muy Baja",'[2]Mapa final'!$AA$22="Mayor"),CONCATENATE("R2C",'[2]Mapa final'!$O$22),"")</f>
        <v/>
      </c>
      <c r="AG47" s="102" t="str">
        <f>IF(AND('[2]Mapa final'!$Y$23="Muy Baja",'[2]Mapa final'!$AA$23="Mayor"),CONCATENATE("R2C",'[2]Mapa final'!$O$23),"")</f>
        <v/>
      </c>
      <c r="AH47" s="103" t="str">
        <f>IF(AND('[2]Mapa final'!$Y$18="Muy Baja",'[2]Mapa final'!$AA$18="Catastrófico"),CONCATENATE("R2C",'[2]Mapa final'!$O$18),"")</f>
        <v/>
      </c>
      <c r="AI47" s="104" t="str">
        <f>IF(AND('[2]Mapa final'!$Y$19="Muy Baja",'[2]Mapa final'!$AA$19="Catastrófico"),CONCATENATE("R2C",'[2]Mapa final'!$O$19),"")</f>
        <v/>
      </c>
      <c r="AJ47" s="104" t="str">
        <f>IF(AND('[2]Mapa final'!$Y$20="Muy Baja",'[2]Mapa final'!$AA$20="Catastrófico"),CONCATENATE("R2C",'[2]Mapa final'!$O$20),"")</f>
        <v/>
      </c>
      <c r="AK47" s="104" t="str">
        <f>IF(AND('[2]Mapa final'!$Y$21="Muy Baja",'[2]Mapa final'!$AA$21="Catastrófico"),CONCATENATE("R2C",'[2]Mapa final'!$O$21),"")</f>
        <v/>
      </c>
      <c r="AL47" s="104" t="str">
        <f>IF(AND('[2]Mapa final'!$Y$22="Muy Baja",'[2]Mapa final'!$AA$22="Catastrófico"),CONCATENATE("R2C",'[2]Mapa final'!$O$22),"")</f>
        <v/>
      </c>
      <c r="AM47" s="105" t="str">
        <f>IF(AND('[2]Mapa final'!$Y$23="Muy Baja",'[2]Mapa final'!$AA$23="Catastrófico"),CONCATENATE("R2C",'[2]Mapa final'!$O$23),"")</f>
        <v/>
      </c>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2"/>
      <c r="CB47" s="92"/>
    </row>
    <row r="48" spans="1:80" ht="15" customHeight="1">
      <c r="A48" s="92"/>
      <c r="B48" s="417"/>
      <c r="C48" s="417"/>
      <c r="D48" s="418"/>
      <c r="E48" s="440"/>
      <c r="F48" s="423"/>
      <c r="G48" s="423"/>
      <c r="H48" s="423"/>
      <c r="I48" s="424"/>
      <c r="J48" s="124" t="str">
        <f>IF(AND('[2]Mapa final'!$Y$24="Muy Baja",'[2]Mapa final'!$AA$24="Leve"),CONCATENATE("R3C",'[2]Mapa final'!$O$24),"")</f>
        <v>R3C1</v>
      </c>
      <c r="K48" s="125" t="str">
        <f>IF(AND('[2]Mapa final'!$Y$25="Muy Baja",'[2]Mapa final'!$AA$25="Leve"),CONCATENATE("R3C",'[2]Mapa final'!$O$25),"")</f>
        <v/>
      </c>
      <c r="L48" s="125" t="str">
        <f>IF(AND('[2]Mapa final'!$Y$26="Muy Baja",'[2]Mapa final'!$AA$26="Leve"),CONCATENATE("R3C",'[2]Mapa final'!$O$26),"")</f>
        <v/>
      </c>
      <c r="M48" s="125" t="str">
        <f>IF(AND('[2]Mapa final'!$Y$27="Muy Baja",'[2]Mapa final'!$AA$27="Leve"),CONCATENATE("R3C",'[2]Mapa final'!$O$27),"")</f>
        <v/>
      </c>
      <c r="N48" s="125" t="str">
        <f>IF(AND('[2]Mapa final'!$Y$28="Muy Baja",'[2]Mapa final'!$AA$28="Leve"),CONCATENATE("R3C",'[2]Mapa final'!$O$28),"")</f>
        <v/>
      </c>
      <c r="O48" s="126" t="str">
        <f>IF(AND('[2]Mapa final'!$Y$29="Muy Baja",'[2]Mapa final'!$AA$29="Leve"),CONCATENATE("R3C",'[2]Mapa final'!$O$29),"")</f>
        <v/>
      </c>
      <c r="P48" s="124" t="str">
        <f>IF(AND('[2]Mapa final'!$Y$24="Muy Baja",'[2]Mapa final'!$AA$24="Menor"),CONCATENATE("R3C",'[2]Mapa final'!$O$24),"")</f>
        <v/>
      </c>
      <c r="Q48" s="125" t="str">
        <f>IF(AND('[2]Mapa final'!$Y$25="Muy Baja",'[2]Mapa final'!$AA$25="Menor"),CONCATENATE("R3C",'[2]Mapa final'!$O$25),"")</f>
        <v/>
      </c>
      <c r="R48" s="125" t="str">
        <f>IF(AND('[2]Mapa final'!$Y$26="Muy Baja",'[2]Mapa final'!$AA$26="Menor"),CONCATENATE("R3C",'[2]Mapa final'!$O$26),"")</f>
        <v/>
      </c>
      <c r="S48" s="125" t="str">
        <f>IF(AND('[2]Mapa final'!$Y$27="Muy Baja",'[2]Mapa final'!$AA$27="Menor"),CONCATENATE("R3C",'[2]Mapa final'!$O$27),"")</f>
        <v/>
      </c>
      <c r="T48" s="125" t="str">
        <f>IF(AND('[2]Mapa final'!$Y$28="Muy Baja",'[2]Mapa final'!$AA$28="Menor"),CONCATENATE("R3C",'[2]Mapa final'!$O$28),"")</f>
        <v/>
      </c>
      <c r="U48" s="126" t="str">
        <f>IF(AND('[2]Mapa final'!$Y$29="Muy Baja",'[2]Mapa final'!$AA$29="Menor"),CONCATENATE("R3C",'[2]Mapa final'!$O$29),"")</f>
        <v/>
      </c>
      <c r="V48" s="115" t="str">
        <f>IF(AND('[2]Mapa final'!$Y$24="Muy Baja",'[2]Mapa final'!$AA$24="Moderado"),CONCATENATE("R3C",'[2]Mapa final'!$O$24),"")</f>
        <v/>
      </c>
      <c r="W48" s="116" t="str">
        <f>IF(AND('[2]Mapa final'!$Y$25="Muy Baja",'[2]Mapa final'!$AA$25="Moderado"),CONCATENATE("R3C",'[2]Mapa final'!$O$25),"")</f>
        <v/>
      </c>
      <c r="X48" s="116" t="str">
        <f>IF(AND('[2]Mapa final'!$Y$26="Muy Baja",'[2]Mapa final'!$AA$26="Moderado"),CONCATENATE("R3C",'[2]Mapa final'!$O$26),"")</f>
        <v/>
      </c>
      <c r="Y48" s="116" t="str">
        <f>IF(AND('[2]Mapa final'!$Y$27="Muy Baja",'[2]Mapa final'!$AA$27="Moderado"),CONCATENATE("R3C",'[2]Mapa final'!$O$27),"")</f>
        <v/>
      </c>
      <c r="Z48" s="116" t="str">
        <f>IF(AND('[2]Mapa final'!$Y$28="Muy Baja",'[2]Mapa final'!$AA$28="Moderado"),CONCATENATE("R3C",'[2]Mapa final'!$O$28),"")</f>
        <v/>
      </c>
      <c r="AA48" s="117" t="str">
        <f>IF(AND('[2]Mapa final'!$Y$29="Muy Baja",'[2]Mapa final'!$AA$29="Moderado"),CONCATENATE("R3C",'[2]Mapa final'!$O$29),"")</f>
        <v/>
      </c>
      <c r="AB48" s="100" t="str">
        <f>IF(AND('[2]Mapa final'!$Y$24="Muy Baja",'[2]Mapa final'!$AA$24="Mayor"),CONCATENATE("R3C",'[2]Mapa final'!$O$24),"")</f>
        <v/>
      </c>
      <c r="AC48" s="101" t="str">
        <f>IF(AND('[2]Mapa final'!$Y$25="Muy Baja",'[2]Mapa final'!$AA$25="Mayor"),CONCATENATE("R3C",'[2]Mapa final'!$O$25),"")</f>
        <v/>
      </c>
      <c r="AD48" s="101" t="str">
        <f>IF(AND('[2]Mapa final'!$Y$26="Muy Baja",'[2]Mapa final'!$AA$26="Mayor"),CONCATENATE("R3C",'[2]Mapa final'!$O$26),"")</f>
        <v/>
      </c>
      <c r="AE48" s="101" t="str">
        <f>IF(AND('[2]Mapa final'!$Y$27="Muy Baja",'[2]Mapa final'!$AA$27="Mayor"),CONCATENATE("R3C",'[2]Mapa final'!$O$27),"")</f>
        <v/>
      </c>
      <c r="AF48" s="101" t="str">
        <f>IF(AND('[2]Mapa final'!$Y$28="Muy Baja",'[2]Mapa final'!$AA$28="Mayor"),CONCATENATE("R3C",'[2]Mapa final'!$O$28),"")</f>
        <v/>
      </c>
      <c r="AG48" s="102" t="str">
        <f>IF(AND('[2]Mapa final'!$Y$29="Muy Baja",'[2]Mapa final'!$AA$29="Mayor"),CONCATENATE("R3C",'[2]Mapa final'!$O$29),"")</f>
        <v/>
      </c>
      <c r="AH48" s="103" t="str">
        <f>IF(AND('[2]Mapa final'!$Y$24="Muy Baja",'[2]Mapa final'!$AA$24="Catastrófico"),CONCATENATE("R3C",'[2]Mapa final'!$O$24),"")</f>
        <v/>
      </c>
      <c r="AI48" s="104" t="str">
        <f>IF(AND('[2]Mapa final'!$Y$25="Muy Baja",'[2]Mapa final'!$AA$25="Catastrófico"),CONCATENATE("R3C",'[2]Mapa final'!$O$25),"")</f>
        <v/>
      </c>
      <c r="AJ48" s="104" t="str">
        <f>IF(AND('[2]Mapa final'!$Y$26="Muy Baja",'[2]Mapa final'!$AA$26="Catastrófico"),CONCATENATE("R3C",'[2]Mapa final'!$O$26),"")</f>
        <v/>
      </c>
      <c r="AK48" s="104" t="str">
        <f>IF(AND('[2]Mapa final'!$Y$27="Muy Baja",'[2]Mapa final'!$AA$27="Catastrófico"),CONCATENATE("R3C",'[2]Mapa final'!$O$27),"")</f>
        <v/>
      </c>
      <c r="AL48" s="104" t="str">
        <f>IF(AND('[2]Mapa final'!$Y$28="Muy Baja",'[2]Mapa final'!$AA$28="Catastrófico"),CONCATENATE("R3C",'[2]Mapa final'!$O$28),"")</f>
        <v/>
      </c>
      <c r="AM48" s="105" t="str">
        <f>IF(AND('[2]Mapa final'!$Y$29="Muy Baja",'[2]Mapa final'!$AA$29="Catastrófico"),CONCATENATE("R3C",'[2]Mapa final'!$O$29),"")</f>
        <v/>
      </c>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2"/>
      <c r="BR48" s="92"/>
      <c r="BS48" s="92"/>
      <c r="BT48" s="92"/>
      <c r="BU48" s="92"/>
      <c r="BV48" s="92"/>
      <c r="BW48" s="92"/>
      <c r="BX48" s="92"/>
      <c r="BY48" s="92"/>
      <c r="BZ48" s="92"/>
      <c r="CA48" s="92"/>
      <c r="CB48" s="92"/>
    </row>
    <row r="49" spans="1:80" ht="15" customHeight="1">
      <c r="A49" s="92"/>
      <c r="B49" s="417"/>
      <c r="C49" s="417"/>
      <c r="D49" s="418"/>
      <c r="E49" s="422"/>
      <c r="F49" s="423"/>
      <c r="G49" s="423"/>
      <c r="H49" s="423"/>
      <c r="I49" s="424"/>
      <c r="J49" s="124" t="e">
        <f>IF(AND('[2]Mapa final'!$Y$30="Muy Baja",'[2]Mapa final'!$AA$30="Leve"),CONCATENATE("R4C",'[2]Mapa final'!$O$30),"")</f>
        <v>#REF!</v>
      </c>
      <c r="K49" s="125" t="str">
        <f>IF(AND('[2]Mapa final'!$Y$31="Muy Baja",'[2]Mapa final'!$AA$31="Leve"),CONCATENATE("R4C",'[2]Mapa final'!$O$31),"")</f>
        <v/>
      </c>
      <c r="L49" s="125" t="str">
        <f>IF(AND('[2]Mapa final'!$Y$32="Muy Baja",'[2]Mapa final'!$AA$32="Leve"),CONCATENATE("R4C",'[2]Mapa final'!$O$32),"")</f>
        <v/>
      </c>
      <c r="M49" s="125" t="str">
        <f>IF(AND('[2]Mapa final'!$Y$33="Muy Baja",'[2]Mapa final'!$AA$33="Leve"),CONCATENATE("R4C",'[2]Mapa final'!$O$33),"")</f>
        <v/>
      </c>
      <c r="N49" s="125" t="str">
        <f>IF(AND('[2]Mapa final'!$Y$34="Muy Baja",'[2]Mapa final'!$AA$34="Leve"),CONCATENATE("R4C",'[2]Mapa final'!$O$34),"")</f>
        <v/>
      </c>
      <c r="O49" s="126" t="str">
        <f>IF(AND('[2]Mapa final'!$Y$35="Muy Baja",'[2]Mapa final'!$AA$35="Leve"),CONCATENATE("R4C",'[2]Mapa final'!$O$35),"")</f>
        <v/>
      </c>
      <c r="P49" s="124" t="e">
        <f>IF(AND('[2]Mapa final'!$Y$30="Muy Baja",'[2]Mapa final'!$AA$30="Menor"),CONCATENATE("R4C",'[2]Mapa final'!$O$30),"")</f>
        <v>#REF!</v>
      </c>
      <c r="Q49" s="125" t="str">
        <f>IF(AND('[2]Mapa final'!$Y$31="Muy Baja",'[2]Mapa final'!$AA$31="Menor"),CONCATENATE("R4C",'[2]Mapa final'!$O$31),"")</f>
        <v/>
      </c>
      <c r="R49" s="125" t="str">
        <f>IF(AND('[2]Mapa final'!$Y$32="Muy Baja",'[2]Mapa final'!$AA$32="Menor"),CONCATENATE("R4C",'[2]Mapa final'!$O$32),"")</f>
        <v/>
      </c>
      <c r="S49" s="125" t="str">
        <f>IF(AND('[2]Mapa final'!$Y$33="Muy Baja",'[2]Mapa final'!$AA$33="Menor"),CONCATENATE("R4C",'[2]Mapa final'!$O$33),"")</f>
        <v/>
      </c>
      <c r="T49" s="125" t="str">
        <f>IF(AND('[2]Mapa final'!$Y$34="Muy Baja",'[2]Mapa final'!$AA$34="Menor"),CONCATENATE("R4C",'[2]Mapa final'!$O$34),"")</f>
        <v/>
      </c>
      <c r="U49" s="126" t="str">
        <f>IF(AND('[2]Mapa final'!$Y$35="Muy Baja",'[2]Mapa final'!$AA$35="Menor"),CONCATENATE("R4C",'[2]Mapa final'!$O$35),"")</f>
        <v/>
      </c>
      <c r="V49" s="115" t="e">
        <f>IF(AND('[2]Mapa final'!$Y$30="Muy Baja",'[2]Mapa final'!$AA$30="Moderado"),CONCATENATE("R4C",'[2]Mapa final'!$O$30),"")</f>
        <v>#REF!</v>
      </c>
      <c r="W49" s="116" t="str">
        <f>IF(AND('[2]Mapa final'!$Y$31="Muy Baja",'[2]Mapa final'!$AA$31="Moderado"),CONCATENATE("R4C",'[2]Mapa final'!$O$31),"")</f>
        <v/>
      </c>
      <c r="X49" s="116" t="str">
        <f>IF(AND('[2]Mapa final'!$Y$32="Muy Baja",'[2]Mapa final'!$AA$32="Moderado"),CONCATENATE("R4C",'[2]Mapa final'!$O$32),"")</f>
        <v/>
      </c>
      <c r="Y49" s="116" t="str">
        <f>IF(AND('[2]Mapa final'!$Y$33="Muy Baja",'[2]Mapa final'!$AA$33="Moderado"),CONCATENATE("R4C",'[2]Mapa final'!$O$33),"")</f>
        <v/>
      </c>
      <c r="Z49" s="116" t="str">
        <f>IF(AND('[2]Mapa final'!$Y$34="Muy Baja",'[2]Mapa final'!$AA$34="Moderado"),CONCATENATE("R4C",'[2]Mapa final'!$O$34),"")</f>
        <v/>
      </c>
      <c r="AA49" s="117" t="str">
        <f>IF(AND('[2]Mapa final'!$Y$35="Muy Baja",'[2]Mapa final'!$AA$35="Moderado"),CONCATENATE("R4C",'[2]Mapa final'!$O$35),"")</f>
        <v/>
      </c>
      <c r="AB49" s="100" t="e">
        <f>IF(AND('[2]Mapa final'!$Y$30="Muy Baja",'[2]Mapa final'!$AA$30="Mayor"),CONCATENATE("R4C",'[2]Mapa final'!$O$30),"")</f>
        <v>#REF!</v>
      </c>
      <c r="AC49" s="101" t="str">
        <f>IF(AND('[2]Mapa final'!$Y$31="Muy Baja",'[2]Mapa final'!$AA$31="Mayor"),CONCATENATE("R4C",'[2]Mapa final'!$O$31),"")</f>
        <v/>
      </c>
      <c r="AD49" s="101" t="str">
        <f>IF(AND('[2]Mapa final'!$Y$32="Muy Baja",'[2]Mapa final'!$AA$32="Mayor"),CONCATENATE("R4C",'[2]Mapa final'!$O$32),"")</f>
        <v/>
      </c>
      <c r="AE49" s="101" t="str">
        <f>IF(AND('[2]Mapa final'!$Y$33="Muy Baja",'[2]Mapa final'!$AA$33="Mayor"),CONCATENATE("R4C",'[2]Mapa final'!$O$33),"")</f>
        <v/>
      </c>
      <c r="AF49" s="101" t="str">
        <f>IF(AND('[2]Mapa final'!$Y$34="Muy Baja",'[2]Mapa final'!$AA$34="Mayor"),CONCATENATE("R4C",'[2]Mapa final'!$O$34),"")</f>
        <v/>
      </c>
      <c r="AG49" s="102" t="str">
        <f>IF(AND('[2]Mapa final'!$Y$35="Muy Baja",'[2]Mapa final'!$AA$35="Mayor"),CONCATENATE("R4C",'[2]Mapa final'!$O$35),"")</f>
        <v/>
      </c>
      <c r="AH49" s="103" t="e">
        <f>IF(AND('[2]Mapa final'!$Y$30="Muy Baja",'[2]Mapa final'!$AA$30="Catastrófico"),CONCATENATE("R4C",'[2]Mapa final'!$O$30),"")</f>
        <v>#REF!</v>
      </c>
      <c r="AI49" s="104" t="str">
        <f>IF(AND('[2]Mapa final'!$Y$31="Muy Baja",'[2]Mapa final'!$AA$31="Catastrófico"),CONCATENATE("R4C",'[2]Mapa final'!$O$31),"")</f>
        <v/>
      </c>
      <c r="AJ49" s="104" t="str">
        <f>IF(AND('[2]Mapa final'!$Y$32="Muy Baja",'[2]Mapa final'!$AA$32="Catastrófico"),CONCATENATE("R4C",'[2]Mapa final'!$O$32),"")</f>
        <v/>
      </c>
      <c r="AK49" s="104" t="str">
        <f>IF(AND('[2]Mapa final'!$Y$33="Muy Baja",'[2]Mapa final'!$AA$33="Catastrófico"),CONCATENATE("R4C",'[2]Mapa final'!$O$33),"")</f>
        <v/>
      </c>
      <c r="AL49" s="104" t="str">
        <f>IF(AND('[2]Mapa final'!$Y$34="Muy Baja",'[2]Mapa final'!$AA$34="Catastrófico"),CONCATENATE("R4C",'[2]Mapa final'!$O$34),"")</f>
        <v/>
      </c>
      <c r="AM49" s="105" t="str">
        <f>IF(AND('[2]Mapa final'!$Y$35="Muy Baja",'[2]Mapa final'!$AA$35="Catastrófico"),CONCATENATE("R4C",'[2]Mapa final'!$O$35),"")</f>
        <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2"/>
      <c r="CB49" s="92"/>
    </row>
    <row r="50" spans="1:80" ht="15" customHeight="1">
      <c r="A50" s="92"/>
      <c r="B50" s="417"/>
      <c r="C50" s="417"/>
      <c r="D50" s="418"/>
      <c r="E50" s="422"/>
      <c r="F50" s="423"/>
      <c r="G50" s="423"/>
      <c r="H50" s="423"/>
      <c r="I50" s="424"/>
      <c r="J50" s="124" t="str">
        <f>IF(AND('[2]Mapa final'!$Y$36="Muy Baja",'[2]Mapa final'!$AA$36="Leve"),CONCATENATE("R5C",'[2]Mapa final'!$O$36),"")</f>
        <v/>
      </c>
      <c r="K50" s="125" t="str">
        <f>IF(AND('[2]Mapa final'!$Y$37="Muy Baja",'[2]Mapa final'!$AA$37="Leve"),CONCATENATE("R5C",'[2]Mapa final'!$O$37),"")</f>
        <v/>
      </c>
      <c r="L50" s="125" t="str">
        <f>IF(AND('[2]Mapa final'!$Y$38="Muy Baja",'[2]Mapa final'!$AA$38="Leve"),CONCATENATE("R5C",'[2]Mapa final'!$O$38),"")</f>
        <v/>
      </c>
      <c r="M50" s="125" t="str">
        <f>IF(AND('[2]Mapa final'!$Y$39="Muy Baja",'[2]Mapa final'!$AA$39="Leve"),CONCATENATE("R5C",'[2]Mapa final'!$O$39),"")</f>
        <v/>
      </c>
      <c r="N50" s="125" t="str">
        <f>IF(AND('[2]Mapa final'!$Y$40="Muy Baja",'[2]Mapa final'!$AA$40="Leve"),CONCATENATE("R5C",'[2]Mapa final'!$O$40),"")</f>
        <v/>
      </c>
      <c r="O50" s="126" t="str">
        <f>IF(AND('[2]Mapa final'!$Y$41="Muy Baja",'[2]Mapa final'!$AA$41="Leve"),CONCATENATE("R5C",'[2]Mapa final'!$O$41),"")</f>
        <v/>
      </c>
      <c r="P50" s="124" t="str">
        <f>IF(AND('[2]Mapa final'!$Y$36="Muy Baja",'[2]Mapa final'!$AA$36="Menor"),CONCATENATE("R5C",'[2]Mapa final'!$O$36),"")</f>
        <v/>
      </c>
      <c r="Q50" s="125" t="str">
        <f>IF(AND('[2]Mapa final'!$Y$37="Muy Baja",'[2]Mapa final'!$AA$37="Menor"),CONCATENATE("R5C",'[2]Mapa final'!$O$37),"")</f>
        <v/>
      </c>
      <c r="R50" s="125" t="str">
        <f>IF(AND('[2]Mapa final'!$Y$38="Muy Baja",'[2]Mapa final'!$AA$38="Menor"),CONCATENATE("R5C",'[2]Mapa final'!$O$38),"")</f>
        <v/>
      </c>
      <c r="S50" s="125" t="str">
        <f>IF(AND('[2]Mapa final'!$Y$39="Muy Baja",'[2]Mapa final'!$AA$39="Menor"),CONCATENATE("R5C",'[2]Mapa final'!$O$39),"")</f>
        <v/>
      </c>
      <c r="T50" s="125" t="str">
        <f>IF(AND('[2]Mapa final'!$Y$40="Muy Baja",'[2]Mapa final'!$AA$40="Menor"),CONCATENATE("R5C",'[2]Mapa final'!$O$40),"")</f>
        <v/>
      </c>
      <c r="U50" s="126" t="str">
        <f>IF(AND('[2]Mapa final'!$Y$41="Muy Baja",'[2]Mapa final'!$AA$41="Menor"),CONCATENATE("R5C",'[2]Mapa final'!$O$41),"")</f>
        <v/>
      </c>
      <c r="V50" s="115" t="str">
        <f>IF(AND('[2]Mapa final'!$Y$36="Muy Baja",'[2]Mapa final'!$AA$36="Moderado"),CONCATENATE("R5C",'[2]Mapa final'!$O$36),"")</f>
        <v/>
      </c>
      <c r="W50" s="116" t="str">
        <f>IF(AND('[2]Mapa final'!$Y$37="Muy Baja",'[2]Mapa final'!$AA$37="Moderado"),CONCATENATE("R5C",'[2]Mapa final'!$O$37),"")</f>
        <v/>
      </c>
      <c r="X50" s="116" t="str">
        <f>IF(AND('[2]Mapa final'!$Y$38="Muy Baja",'[2]Mapa final'!$AA$38="Moderado"),CONCATENATE("R5C",'[2]Mapa final'!$O$38),"")</f>
        <v/>
      </c>
      <c r="Y50" s="116" t="str">
        <f>IF(AND('[2]Mapa final'!$Y$39="Muy Baja",'[2]Mapa final'!$AA$39="Moderado"),CONCATENATE("R5C",'[2]Mapa final'!$O$39),"")</f>
        <v/>
      </c>
      <c r="Z50" s="116" t="str">
        <f>IF(AND('[2]Mapa final'!$Y$40="Muy Baja",'[2]Mapa final'!$AA$40="Moderado"),CONCATENATE("R5C",'[2]Mapa final'!$O$40),"")</f>
        <v/>
      </c>
      <c r="AA50" s="117" t="str">
        <f>IF(AND('[2]Mapa final'!$Y$41="Muy Baja",'[2]Mapa final'!$AA$41="Moderado"),CONCATENATE("R5C",'[2]Mapa final'!$O$41),"")</f>
        <v/>
      </c>
      <c r="AB50" s="100" t="str">
        <f>IF(AND('[2]Mapa final'!$Y$36="Muy Baja",'[2]Mapa final'!$AA$36="Mayor"),CONCATENATE("R5C",'[2]Mapa final'!$O$36),"")</f>
        <v/>
      </c>
      <c r="AC50" s="101" t="str">
        <f>IF(AND('[2]Mapa final'!$Y$37="Muy Baja",'[2]Mapa final'!$AA$37="Mayor"),CONCATENATE("R5C",'[2]Mapa final'!$O$37),"")</f>
        <v/>
      </c>
      <c r="AD50" s="101" t="str">
        <f>IF(AND('[2]Mapa final'!$Y$38="Muy Baja",'[2]Mapa final'!$AA$38="Mayor"),CONCATENATE("R5C",'[2]Mapa final'!$O$38),"")</f>
        <v/>
      </c>
      <c r="AE50" s="101" t="str">
        <f>IF(AND('[2]Mapa final'!$Y$39="Muy Baja",'[2]Mapa final'!$AA$39="Mayor"),CONCATENATE("R5C",'[2]Mapa final'!$O$39),"")</f>
        <v/>
      </c>
      <c r="AF50" s="101" t="str">
        <f>IF(AND('[2]Mapa final'!$Y$40="Muy Baja",'[2]Mapa final'!$AA$40="Mayor"),CONCATENATE("R5C",'[2]Mapa final'!$O$40),"")</f>
        <v/>
      </c>
      <c r="AG50" s="102" t="str">
        <f>IF(AND('[2]Mapa final'!$Y$41="Muy Baja",'[2]Mapa final'!$AA$41="Mayor"),CONCATENATE("R5C",'[2]Mapa final'!$O$41),"")</f>
        <v/>
      </c>
      <c r="AH50" s="103" t="str">
        <f>IF(AND('[2]Mapa final'!$Y$36="Muy Baja",'[2]Mapa final'!$AA$36="Catastrófico"),CONCATENATE("R5C",'[2]Mapa final'!$O$36),"")</f>
        <v/>
      </c>
      <c r="AI50" s="104" t="str">
        <f>IF(AND('[2]Mapa final'!$Y$37="Muy Baja",'[2]Mapa final'!$AA$37="Catastrófico"),CONCATENATE("R5C",'[2]Mapa final'!$O$37),"")</f>
        <v/>
      </c>
      <c r="AJ50" s="104" t="str">
        <f>IF(AND('[2]Mapa final'!$Y$38="Muy Baja",'[2]Mapa final'!$AA$38="Catastrófico"),CONCATENATE("R5C",'[2]Mapa final'!$O$38),"")</f>
        <v/>
      </c>
      <c r="AK50" s="104" t="str">
        <f>IF(AND('[2]Mapa final'!$Y$39="Muy Baja",'[2]Mapa final'!$AA$39="Catastrófico"),CONCATENATE("R5C",'[2]Mapa final'!$O$39),"")</f>
        <v/>
      </c>
      <c r="AL50" s="104" t="str">
        <f>IF(AND('[2]Mapa final'!$Y$40="Muy Baja",'[2]Mapa final'!$AA$40="Catastrófico"),CONCATENATE("R5C",'[2]Mapa final'!$O$40),"")</f>
        <v/>
      </c>
      <c r="AM50" s="105" t="str">
        <f>IF(AND('[2]Mapa final'!$Y$41="Muy Baja",'[2]Mapa final'!$AA$41="Catastrófico"),CONCATENATE("R5C",'[2]Mapa final'!$O$41),"")</f>
        <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2"/>
      <c r="BX50" s="92"/>
      <c r="BY50" s="92"/>
      <c r="BZ50" s="92"/>
      <c r="CA50" s="92"/>
      <c r="CB50" s="92"/>
    </row>
    <row r="51" spans="1:80" ht="15" customHeight="1">
      <c r="A51" s="92"/>
      <c r="B51" s="417"/>
      <c r="C51" s="417"/>
      <c r="D51" s="418"/>
      <c r="E51" s="422"/>
      <c r="F51" s="423"/>
      <c r="G51" s="423"/>
      <c r="H51" s="423"/>
      <c r="I51" s="424"/>
      <c r="J51" s="124" t="str">
        <f>IF(AND('[2]Mapa final'!$Y$42="Muy Baja",'[2]Mapa final'!$AA$42="Leve"),CONCATENATE("R6C",'[2]Mapa final'!$O$42),"")</f>
        <v/>
      </c>
      <c r="K51" s="125" t="str">
        <f>IF(AND('[2]Mapa final'!$Y$43="Muy Baja",'[2]Mapa final'!$AA$43="Leve"),CONCATENATE("R6C",'[2]Mapa final'!$O$43),"")</f>
        <v/>
      </c>
      <c r="L51" s="125" t="str">
        <f>IF(AND('[2]Mapa final'!$Y$44="Muy Baja",'[2]Mapa final'!$AA$44="Leve"),CONCATENATE("R6C",'[2]Mapa final'!$O$44),"")</f>
        <v/>
      </c>
      <c r="M51" s="125" t="str">
        <f>IF(AND('[2]Mapa final'!$Y$45="Muy Baja",'[2]Mapa final'!$AA$45="Leve"),CONCATENATE("R6C",'[2]Mapa final'!$O$45),"")</f>
        <v/>
      </c>
      <c r="N51" s="125" t="str">
        <f>IF(AND('[2]Mapa final'!$Y$46="Muy Baja",'[2]Mapa final'!$AA$46="Leve"),CONCATENATE("R6C",'[2]Mapa final'!$O$46),"")</f>
        <v/>
      </c>
      <c r="O51" s="126" t="str">
        <f>IF(AND('[2]Mapa final'!$Y$47="Muy Baja",'[2]Mapa final'!$AA$47="Leve"),CONCATENATE("R6C",'[2]Mapa final'!$O$47),"")</f>
        <v/>
      </c>
      <c r="P51" s="124" t="str">
        <f>IF(AND('[2]Mapa final'!$Y$42="Muy Baja",'[2]Mapa final'!$AA$42="Menor"),CONCATENATE("R6C",'[2]Mapa final'!$O$42),"")</f>
        <v/>
      </c>
      <c r="Q51" s="125" t="str">
        <f>IF(AND('[2]Mapa final'!$Y$43="Muy Baja",'[2]Mapa final'!$AA$43="Menor"),CONCATENATE("R6C",'[2]Mapa final'!$O$43),"")</f>
        <v/>
      </c>
      <c r="R51" s="125" t="str">
        <f>IF(AND('[2]Mapa final'!$Y$44="Muy Baja",'[2]Mapa final'!$AA$44="Menor"),CONCATENATE("R6C",'[2]Mapa final'!$O$44),"")</f>
        <v/>
      </c>
      <c r="S51" s="125" t="str">
        <f>IF(AND('[2]Mapa final'!$Y$45="Muy Baja",'[2]Mapa final'!$AA$45="Menor"),CONCATENATE("R6C",'[2]Mapa final'!$O$45),"")</f>
        <v/>
      </c>
      <c r="T51" s="125" t="str">
        <f>IF(AND('[2]Mapa final'!$Y$46="Muy Baja",'[2]Mapa final'!$AA$46="Menor"),CONCATENATE("R6C",'[2]Mapa final'!$O$46),"")</f>
        <v/>
      </c>
      <c r="U51" s="126" t="str">
        <f>IF(AND('[2]Mapa final'!$Y$47="Muy Baja",'[2]Mapa final'!$AA$47="Menor"),CONCATENATE("R6C",'[2]Mapa final'!$O$47),"")</f>
        <v/>
      </c>
      <c r="V51" s="115" t="str">
        <f>IF(AND('[2]Mapa final'!$Y$42="Muy Baja",'[2]Mapa final'!$AA$42="Moderado"),CONCATENATE("R6C",'[2]Mapa final'!$O$42),"")</f>
        <v>R6C1</v>
      </c>
      <c r="W51" s="116" t="str">
        <f>IF(AND('[2]Mapa final'!$Y$43="Muy Baja",'[2]Mapa final'!$AA$43="Moderado"),CONCATENATE("R6C",'[2]Mapa final'!$O$43),"")</f>
        <v/>
      </c>
      <c r="X51" s="116" t="str">
        <f>IF(AND('[2]Mapa final'!$Y$44="Muy Baja",'[2]Mapa final'!$AA$44="Moderado"),CONCATENATE("R6C",'[2]Mapa final'!$O$44),"")</f>
        <v/>
      </c>
      <c r="Y51" s="116" t="str">
        <f>IF(AND('[2]Mapa final'!$Y$45="Muy Baja",'[2]Mapa final'!$AA$45="Moderado"),CONCATENATE("R6C",'[2]Mapa final'!$O$45),"")</f>
        <v/>
      </c>
      <c r="Z51" s="116" t="str">
        <f>IF(AND('[2]Mapa final'!$Y$46="Muy Baja",'[2]Mapa final'!$AA$46="Moderado"),CONCATENATE("R6C",'[2]Mapa final'!$O$46),"")</f>
        <v/>
      </c>
      <c r="AA51" s="117" t="str">
        <f>IF(AND('[2]Mapa final'!$Y$47="Muy Baja",'[2]Mapa final'!$AA$47="Moderado"),CONCATENATE("R6C",'[2]Mapa final'!$O$47),"")</f>
        <v/>
      </c>
      <c r="AB51" s="100" t="str">
        <f>IF(AND('[2]Mapa final'!$Y$42="Muy Baja",'[2]Mapa final'!$AA$42="Mayor"),CONCATENATE("R6C",'[2]Mapa final'!$O$42),"")</f>
        <v/>
      </c>
      <c r="AC51" s="101" t="str">
        <f>IF(AND('[2]Mapa final'!$Y$43="Muy Baja",'[2]Mapa final'!$AA$43="Mayor"),CONCATENATE("R6C",'[2]Mapa final'!$O$43),"")</f>
        <v/>
      </c>
      <c r="AD51" s="101" t="str">
        <f>IF(AND('[2]Mapa final'!$Y$44="Muy Baja",'[2]Mapa final'!$AA$44="Mayor"),CONCATENATE("R6C",'[2]Mapa final'!$O$44),"")</f>
        <v/>
      </c>
      <c r="AE51" s="101" t="str">
        <f>IF(AND('[2]Mapa final'!$Y$45="Muy Baja",'[2]Mapa final'!$AA$45="Mayor"),CONCATENATE("R6C",'[2]Mapa final'!$O$45),"")</f>
        <v/>
      </c>
      <c r="AF51" s="101" t="str">
        <f>IF(AND('[2]Mapa final'!$Y$46="Muy Baja",'[2]Mapa final'!$AA$46="Mayor"),CONCATENATE("R6C",'[2]Mapa final'!$O$46),"")</f>
        <v/>
      </c>
      <c r="AG51" s="102" t="str">
        <f>IF(AND('[2]Mapa final'!$Y$47="Muy Baja",'[2]Mapa final'!$AA$47="Mayor"),CONCATENATE("R6C",'[2]Mapa final'!$O$47),"")</f>
        <v/>
      </c>
      <c r="AH51" s="103" t="str">
        <f>IF(AND('[2]Mapa final'!$Y$42="Muy Baja",'[2]Mapa final'!$AA$42="Catastrófico"),CONCATENATE("R6C",'[2]Mapa final'!$O$42),"")</f>
        <v/>
      </c>
      <c r="AI51" s="104" t="str">
        <f>IF(AND('[2]Mapa final'!$Y$43="Muy Baja",'[2]Mapa final'!$AA$43="Catastrófico"),CONCATENATE("R6C",'[2]Mapa final'!$O$43),"")</f>
        <v/>
      </c>
      <c r="AJ51" s="104" t="str">
        <f>IF(AND('[2]Mapa final'!$Y$44="Muy Baja",'[2]Mapa final'!$AA$44="Catastrófico"),CONCATENATE("R6C",'[2]Mapa final'!$O$44),"")</f>
        <v/>
      </c>
      <c r="AK51" s="104" t="str">
        <f>IF(AND('[2]Mapa final'!$Y$45="Muy Baja",'[2]Mapa final'!$AA$45="Catastrófico"),CONCATENATE("R6C",'[2]Mapa final'!$O$45),"")</f>
        <v/>
      </c>
      <c r="AL51" s="104" t="str">
        <f>IF(AND('[2]Mapa final'!$Y$46="Muy Baja",'[2]Mapa final'!$AA$46="Catastrófico"),CONCATENATE("R6C",'[2]Mapa final'!$O$46),"")</f>
        <v/>
      </c>
      <c r="AM51" s="105" t="str">
        <f>IF(AND('[2]Mapa final'!$Y$47="Muy Baja",'[2]Mapa final'!$AA$47="Catastrófico"),CONCATENATE("R6C",'[2]Mapa final'!$O$47),"")</f>
        <v/>
      </c>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2"/>
      <c r="BR51" s="92"/>
      <c r="BS51" s="92"/>
      <c r="BT51" s="92"/>
      <c r="BU51" s="92"/>
      <c r="BV51" s="92"/>
      <c r="BW51" s="92"/>
      <c r="BX51" s="92"/>
      <c r="BY51" s="92"/>
      <c r="BZ51" s="92"/>
      <c r="CA51" s="92"/>
      <c r="CB51" s="92"/>
    </row>
    <row r="52" spans="1:80" ht="15" customHeight="1">
      <c r="A52" s="92"/>
      <c r="B52" s="417"/>
      <c r="C52" s="417"/>
      <c r="D52" s="418"/>
      <c r="E52" s="422"/>
      <c r="F52" s="423"/>
      <c r="G52" s="423"/>
      <c r="H52" s="423"/>
      <c r="I52" s="424"/>
      <c r="J52" s="124" t="str">
        <f>IF(AND('[2]Mapa final'!$Y$48="Muy Baja",'[2]Mapa final'!$AA$48="Leve"),CONCATENATE("R7C",'[2]Mapa final'!$O$48),"")</f>
        <v/>
      </c>
      <c r="K52" s="125" t="str">
        <f>IF(AND('[2]Mapa final'!$Y$49="Muy Baja",'[2]Mapa final'!$AA$49="Leve"),CONCATENATE("R7C",'[2]Mapa final'!$O$49),"")</f>
        <v/>
      </c>
      <c r="L52" s="125" t="str">
        <f>IF(AND('[2]Mapa final'!$Y$50="Muy Baja",'[2]Mapa final'!$AA$50="Leve"),CONCATENATE("R7C",'[2]Mapa final'!$O$50),"")</f>
        <v/>
      </c>
      <c r="M52" s="125" t="str">
        <f>IF(AND('[2]Mapa final'!$Y$51="Muy Baja",'[2]Mapa final'!$AA$51="Leve"),CONCATENATE("R7C",'[2]Mapa final'!$O$51),"")</f>
        <v/>
      </c>
      <c r="N52" s="125" t="str">
        <f>IF(AND('[2]Mapa final'!$Y$52="Muy Baja",'[2]Mapa final'!$AA$52="Leve"),CONCATENATE("R7C",'[2]Mapa final'!$O$52),"")</f>
        <v/>
      </c>
      <c r="O52" s="126" t="str">
        <f>IF(AND('[2]Mapa final'!$Y$53="Muy Baja",'[2]Mapa final'!$AA$53="Leve"),CONCATENATE("R7C",'[2]Mapa final'!$O$53),"")</f>
        <v/>
      </c>
      <c r="P52" s="124" t="str">
        <f>IF(AND('[2]Mapa final'!$Y$48="Muy Baja",'[2]Mapa final'!$AA$48="Menor"),CONCATENATE("R7C",'[2]Mapa final'!$O$48),"")</f>
        <v/>
      </c>
      <c r="Q52" s="125" t="str">
        <f>IF(AND('[2]Mapa final'!$Y$49="Muy Baja",'[2]Mapa final'!$AA$49="Menor"),CONCATENATE("R7C",'[2]Mapa final'!$O$49),"")</f>
        <v/>
      </c>
      <c r="R52" s="125" t="str">
        <f>IF(AND('[2]Mapa final'!$Y$50="Muy Baja",'[2]Mapa final'!$AA$50="Menor"),CONCATENATE("R7C",'[2]Mapa final'!$O$50),"")</f>
        <v/>
      </c>
      <c r="S52" s="125" t="str">
        <f>IF(AND('[2]Mapa final'!$Y$51="Muy Baja",'[2]Mapa final'!$AA$51="Menor"),CONCATENATE("R7C",'[2]Mapa final'!$O$51),"")</f>
        <v/>
      </c>
      <c r="T52" s="125" t="str">
        <f>IF(AND('[2]Mapa final'!$Y$52="Muy Baja",'[2]Mapa final'!$AA$52="Menor"),CONCATENATE("R7C",'[2]Mapa final'!$O$52),"")</f>
        <v/>
      </c>
      <c r="U52" s="126" t="str">
        <f>IF(AND('[2]Mapa final'!$Y$53="Muy Baja",'[2]Mapa final'!$AA$53="Menor"),CONCATENATE("R7C",'[2]Mapa final'!$O$53),"")</f>
        <v/>
      </c>
      <c r="V52" s="115" t="str">
        <f>IF(AND('[2]Mapa final'!$Y$48="Muy Baja",'[2]Mapa final'!$AA$48="Moderado"),CONCATENATE("R7C",'[2]Mapa final'!$O$48),"")</f>
        <v/>
      </c>
      <c r="W52" s="116" t="str">
        <f>IF(AND('[2]Mapa final'!$Y$49="Muy Baja",'[2]Mapa final'!$AA$49="Moderado"),CONCATENATE("R7C",'[2]Mapa final'!$O$49),"")</f>
        <v/>
      </c>
      <c r="X52" s="116" t="str">
        <f>IF(AND('[2]Mapa final'!$Y$50="Muy Baja",'[2]Mapa final'!$AA$50="Moderado"),CONCATENATE("R7C",'[2]Mapa final'!$O$50),"")</f>
        <v/>
      </c>
      <c r="Y52" s="116" t="str">
        <f>IF(AND('[2]Mapa final'!$Y$51="Muy Baja",'[2]Mapa final'!$AA$51="Moderado"),CONCATENATE("R7C",'[2]Mapa final'!$O$51),"")</f>
        <v/>
      </c>
      <c r="Z52" s="116" t="str">
        <f>IF(AND('[2]Mapa final'!$Y$52="Muy Baja",'[2]Mapa final'!$AA$52="Moderado"),CONCATENATE("R7C",'[2]Mapa final'!$O$52),"")</f>
        <v/>
      </c>
      <c r="AA52" s="117" t="str">
        <f>IF(AND('[2]Mapa final'!$Y$53="Muy Baja",'[2]Mapa final'!$AA$53="Moderado"),CONCATENATE("R7C",'[2]Mapa final'!$O$53),"")</f>
        <v/>
      </c>
      <c r="AB52" s="100" t="str">
        <f>IF(AND('[2]Mapa final'!$Y$48="Muy Baja",'[2]Mapa final'!$AA$48="Mayor"),CONCATENATE("R7C",'[2]Mapa final'!$O$48),"")</f>
        <v/>
      </c>
      <c r="AC52" s="101" t="str">
        <f>IF(AND('[2]Mapa final'!$Y$49="Muy Baja",'[2]Mapa final'!$AA$49="Mayor"),CONCATENATE("R7C",'[2]Mapa final'!$O$49),"")</f>
        <v/>
      </c>
      <c r="AD52" s="101" t="str">
        <f>IF(AND('[2]Mapa final'!$Y$50="Muy Baja",'[2]Mapa final'!$AA$50="Mayor"),CONCATENATE("R7C",'[2]Mapa final'!$O$50),"")</f>
        <v/>
      </c>
      <c r="AE52" s="101" t="str">
        <f>IF(AND('[2]Mapa final'!$Y$51="Muy Baja",'[2]Mapa final'!$AA$51="Mayor"),CONCATENATE("R7C",'[2]Mapa final'!$O$51),"")</f>
        <v/>
      </c>
      <c r="AF52" s="101" t="str">
        <f>IF(AND('[2]Mapa final'!$Y$52="Muy Baja",'[2]Mapa final'!$AA$52="Mayor"),CONCATENATE("R7C",'[2]Mapa final'!$O$52),"")</f>
        <v/>
      </c>
      <c r="AG52" s="102" t="str">
        <f>IF(AND('[2]Mapa final'!$Y$53="Muy Baja",'[2]Mapa final'!$AA$53="Mayor"),CONCATENATE("R7C",'[2]Mapa final'!$O$53),"")</f>
        <v/>
      </c>
      <c r="AH52" s="103" t="str">
        <f>IF(AND('[2]Mapa final'!$Y$48="Muy Baja",'[2]Mapa final'!$AA$48="Catastrófico"),CONCATENATE("R7C",'[2]Mapa final'!$O$48),"")</f>
        <v/>
      </c>
      <c r="AI52" s="104" t="str">
        <f>IF(AND('[2]Mapa final'!$Y$49="Muy Baja",'[2]Mapa final'!$AA$49="Catastrófico"),CONCATENATE("R7C",'[2]Mapa final'!$O$49),"")</f>
        <v/>
      </c>
      <c r="AJ52" s="104" t="str">
        <f>IF(AND('[2]Mapa final'!$Y$50="Muy Baja",'[2]Mapa final'!$AA$50="Catastrófico"),CONCATENATE("R7C",'[2]Mapa final'!$O$50),"")</f>
        <v/>
      </c>
      <c r="AK52" s="104" t="str">
        <f>IF(AND('[2]Mapa final'!$Y$51="Muy Baja",'[2]Mapa final'!$AA$51="Catastrófico"),CONCATENATE("R7C",'[2]Mapa final'!$O$51),"")</f>
        <v/>
      </c>
      <c r="AL52" s="104" t="str">
        <f>IF(AND('[2]Mapa final'!$Y$52="Muy Baja",'[2]Mapa final'!$AA$52="Catastrófico"),CONCATENATE("R7C",'[2]Mapa final'!$O$52),"")</f>
        <v/>
      </c>
      <c r="AM52" s="105" t="str">
        <f>IF(AND('[2]Mapa final'!$Y$53="Muy Baja",'[2]Mapa final'!$AA$53="Catastrófico"),CONCATENATE("R7C",'[2]Mapa final'!$O$53),"")</f>
        <v/>
      </c>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c r="BU52" s="92"/>
      <c r="BV52" s="92"/>
      <c r="BW52" s="92"/>
      <c r="BX52" s="92"/>
      <c r="BY52" s="92"/>
      <c r="BZ52" s="92"/>
      <c r="CA52" s="92"/>
      <c r="CB52" s="92"/>
    </row>
    <row r="53" spans="1:80" ht="15" customHeight="1">
      <c r="A53" s="92"/>
      <c r="B53" s="417"/>
      <c r="C53" s="417"/>
      <c r="D53" s="418"/>
      <c r="E53" s="422"/>
      <c r="F53" s="423"/>
      <c r="G53" s="423"/>
      <c r="H53" s="423"/>
      <c r="I53" s="424"/>
      <c r="J53" s="124" t="str">
        <f>IF(AND('[2]Mapa final'!$Y$54="Muy Baja",'[2]Mapa final'!$AA$54="Leve"),CONCATENATE("R8C",'[2]Mapa final'!$O$54),"")</f>
        <v/>
      </c>
      <c r="K53" s="125" t="str">
        <f>IF(AND('[2]Mapa final'!$Y$55="Muy Baja",'[2]Mapa final'!$AA$55="Leve"),CONCATENATE("R8C",'[2]Mapa final'!$O$55),"")</f>
        <v/>
      </c>
      <c r="L53" s="125" t="str">
        <f>IF(AND('[2]Mapa final'!$Y$56="Muy Baja",'[2]Mapa final'!$AA$56="Leve"),CONCATENATE("R8C",'[2]Mapa final'!$O$56),"")</f>
        <v/>
      </c>
      <c r="M53" s="125" t="str">
        <f>IF(AND('[2]Mapa final'!$Y$57="Muy Baja",'[2]Mapa final'!$AA$57="Leve"),CONCATENATE("R8C",'[2]Mapa final'!$O$57),"")</f>
        <v/>
      </c>
      <c r="N53" s="125" t="str">
        <f>IF(AND('[2]Mapa final'!$Y$58="Muy Baja",'[2]Mapa final'!$AA$58="Leve"),CONCATENATE("R8C",'[2]Mapa final'!$O$58),"")</f>
        <v/>
      </c>
      <c r="O53" s="126" t="str">
        <f>IF(AND('[2]Mapa final'!$Y$59="Muy Baja",'[2]Mapa final'!$AA$59="Leve"),CONCATENATE("R8C",'[2]Mapa final'!$O$59),"")</f>
        <v/>
      </c>
      <c r="P53" s="124" t="str">
        <f>IF(AND('[2]Mapa final'!$Y$54="Muy Baja",'[2]Mapa final'!$AA$54="Menor"),CONCATENATE("R8C",'[2]Mapa final'!$O$54),"")</f>
        <v/>
      </c>
      <c r="Q53" s="125" t="str">
        <f>IF(AND('[2]Mapa final'!$Y$55="Muy Baja",'[2]Mapa final'!$AA$55="Menor"),CONCATENATE("R8C",'[2]Mapa final'!$O$55),"")</f>
        <v/>
      </c>
      <c r="R53" s="125" t="str">
        <f>IF(AND('[2]Mapa final'!$Y$56="Muy Baja",'[2]Mapa final'!$AA$56="Menor"),CONCATENATE("R8C",'[2]Mapa final'!$O$56),"")</f>
        <v/>
      </c>
      <c r="S53" s="125" t="str">
        <f>IF(AND('[2]Mapa final'!$Y$57="Muy Baja",'[2]Mapa final'!$AA$57="Menor"),CONCATENATE("R8C",'[2]Mapa final'!$O$57),"")</f>
        <v/>
      </c>
      <c r="T53" s="125" t="str">
        <f>IF(AND('[2]Mapa final'!$Y$58="Muy Baja",'[2]Mapa final'!$AA$58="Menor"),CONCATENATE("R8C",'[2]Mapa final'!$O$58),"")</f>
        <v/>
      </c>
      <c r="U53" s="126" t="str">
        <f>IF(AND('[2]Mapa final'!$Y$59="Muy Baja",'[2]Mapa final'!$AA$59="Menor"),CONCATENATE("R8C",'[2]Mapa final'!$O$59),"")</f>
        <v/>
      </c>
      <c r="V53" s="115" t="str">
        <f>IF(AND('[2]Mapa final'!$Y$54="Muy Baja",'[2]Mapa final'!$AA$54="Moderado"),CONCATENATE("R8C",'[2]Mapa final'!$O$54),"")</f>
        <v/>
      </c>
      <c r="W53" s="116" t="str">
        <f>IF(AND('[2]Mapa final'!$Y$55="Muy Baja",'[2]Mapa final'!$AA$55="Moderado"),CONCATENATE("R8C",'[2]Mapa final'!$O$55),"")</f>
        <v/>
      </c>
      <c r="X53" s="116" t="str">
        <f>IF(AND('[2]Mapa final'!$Y$56="Muy Baja",'[2]Mapa final'!$AA$56="Moderado"),CONCATENATE("R8C",'[2]Mapa final'!$O$56),"")</f>
        <v/>
      </c>
      <c r="Y53" s="116" t="str">
        <f>IF(AND('[2]Mapa final'!$Y$57="Muy Baja",'[2]Mapa final'!$AA$57="Moderado"),CONCATENATE("R8C",'[2]Mapa final'!$O$57),"")</f>
        <v/>
      </c>
      <c r="Z53" s="116" t="str">
        <f>IF(AND('[2]Mapa final'!$Y$58="Muy Baja",'[2]Mapa final'!$AA$58="Moderado"),CONCATENATE("R8C",'[2]Mapa final'!$O$58),"")</f>
        <v/>
      </c>
      <c r="AA53" s="117" t="str">
        <f>IF(AND('[2]Mapa final'!$Y$59="Muy Baja",'[2]Mapa final'!$AA$59="Moderado"),CONCATENATE("R8C",'[2]Mapa final'!$O$59),"")</f>
        <v/>
      </c>
      <c r="AB53" s="100" t="str">
        <f>IF(AND('[2]Mapa final'!$Y$54="Muy Baja",'[2]Mapa final'!$AA$54="Mayor"),CONCATENATE("R8C",'[2]Mapa final'!$O$54),"")</f>
        <v/>
      </c>
      <c r="AC53" s="101" t="str">
        <f>IF(AND('[2]Mapa final'!$Y$55="Muy Baja",'[2]Mapa final'!$AA$55="Mayor"),CONCATENATE("R8C",'[2]Mapa final'!$O$55),"")</f>
        <v/>
      </c>
      <c r="AD53" s="101" t="str">
        <f>IF(AND('[2]Mapa final'!$Y$56="Muy Baja",'[2]Mapa final'!$AA$56="Mayor"),CONCATENATE("R8C",'[2]Mapa final'!$O$56),"")</f>
        <v/>
      </c>
      <c r="AE53" s="101" t="str">
        <f>IF(AND('[2]Mapa final'!$Y$57="Muy Baja",'[2]Mapa final'!$AA$57="Mayor"),CONCATENATE("R8C",'[2]Mapa final'!$O$57),"")</f>
        <v/>
      </c>
      <c r="AF53" s="101" t="str">
        <f>IF(AND('[2]Mapa final'!$Y$58="Muy Baja",'[2]Mapa final'!$AA$58="Mayor"),CONCATENATE("R8C",'[2]Mapa final'!$O$58),"")</f>
        <v/>
      </c>
      <c r="AG53" s="102" t="str">
        <f>IF(AND('[2]Mapa final'!$Y$59="Muy Baja",'[2]Mapa final'!$AA$59="Mayor"),CONCATENATE("R8C",'[2]Mapa final'!$O$59),"")</f>
        <v/>
      </c>
      <c r="AH53" s="103" t="str">
        <f>IF(AND('[2]Mapa final'!$Y$54="Muy Baja",'[2]Mapa final'!$AA$54="Catastrófico"),CONCATENATE("R8C",'[2]Mapa final'!$O$54),"")</f>
        <v/>
      </c>
      <c r="AI53" s="104" t="str">
        <f>IF(AND('[2]Mapa final'!$Y$55="Muy Baja",'[2]Mapa final'!$AA$55="Catastrófico"),CONCATENATE("R8C",'[2]Mapa final'!$O$55),"")</f>
        <v/>
      </c>
      <c r="AJ53" s="104" t="str">
        <f>IF(AND('[2]Mapa final'!$Y$56="Muy Baja",'[2]Mapa final'!$AA$56="Catastrófico"),CONCATENATE("R8C",'[2]Mapa final'!$O$56),"")</f>
        <v/>
      </c>
      <c r="AK53" s="104" t="str">
        <f>IF(AND('[2]Mapa final'!$Y$57="Muy Baja",'[2]Mapa final'!$AA$57="Catastrófico"),CONCATENATE("R8C",'[2]Mapa final'!$O$57),"")</f>
        <v/>
      </c>
      <c r="AL53" s="104" t="str">
        <f>IF(AND('[2]Mapa final'!$Y$58="Muy Baja",'[2]Mapa final'!$AA$58="Catastrófico"),CONCATENATE("R8C",'[2]Mapa final'!$O$58),"")</f>
        <v/>
      </c>
      <c r="AM53" s="105" t="str">
        <f>IF(AND('[2]Mapa final'!$Y$59="Muy Baja",'[2]Mapa final'!$AA$59="Catastrófico"),CONCATENATE("R8C",'[2]Mapa final'!$O$59),"")</f>
        <v/>
      </c>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2"/>
      <c r="CB53" s="92"/>
    </row>
    <row r="54" spans="1:80" ht="15" customHeight="1">
      <c r="A54" s="92"/>
      <c r="B54" s="417"/>
      <c r="C54" s="417"/>
      <c r="D54" s="418"/>
      <c r="E54" s="422"/>
      <c r="F54" s="423"/>
      <c r="G54" s="423"/>
      <c r="H54" s="423"/>
      <c r="I54" s="424"/>
      <c r="J54" s="124" t="str">
        <f>IF(AND('[2]Mapa final'!$Y$60="Muy Baja",'[2]Mapa final'!$AA$60="Leve"),CONCATENATE("R9C",'[2]Mapa final'!$O$60),"")</f>
        <v/>
      </c>
      <c r="K54" s="125" t="str">
        <f>IF(AND('[2]Mapa final'!$Y$61="Muy Baja",'[2]Mapa final'!$AA$61="Leve"),CONCATENATE("R9C",'[2]Mapa final'!$O$61),"")</f>
        <v/>
      </c>
      <c r="L54" s="125" t="str">
        <f>IF(AND('[2]Mapa final'!$Y$62="Muy Baja",'[2]Mapa final'!$AA$62="Leve"),CONCATENATE("R9C",'[2]Mapa final'!$O$62),"")</f>
        <v/>
      </c>
      <c r="M54" s="125" t="str">
        <f>IF(AND('[2]Mapa final'!$Y$63="Muy Baja",'[2]Mapa final'!$AA$63="Leve"),CONCATENATE("R9C",'[2]Mapa final'!$O$63),"")</f>
        <v/>
      </c>
      <c r="N54" s="125" t="str">
        <f>IF(AND('[2]Mapa final'!$Y$64="Muy Baja",'[2]Mapa final'!$AA$64="Leve"),CONCATENATE("R9C",'[2]Mapa final'!$O$64),"")</f>
        <v/>
      </c>
      <c r="O54" s="126" t="str">
        <f>IF(AND('[2]Mapa final'!$Y$65="Muy Baja",'[2]Mapa final'!$AA$65="Leve"),CONCATENATE("R9C",'[2]Mapa final'!$O$65),"")</f>
        <v/>
      </c>
      <c r="P54" s="124" t="str">
        <f>IF(AND('[2]Mapa final'!$Y$60="Muy Baja",'[2]Mapa final'!$AA$60="Menor"),CONCATENATE("R9C",'[2]Mapa final'!$O$60),"")</f>
        <v/>
      </c>
      <c r="Q54" s="125" t="str">
        <f>IF(AND('[2]Mapa final'!$Y$61="Muy Baja",'[2]Mapa final'!$AA$61="Menor"),CONCATENATE("R9C",'[2]Mapa final'!$O$61),"")</f>
        <v/>
      </c>
      <c r="R54" s="125" t="str">
        <f>IF(AND('[2]Mapa final'!$Y$62="Muy Baja",'[2]Mapa final'!$AA$62="Menor"),CONCATENATE("R9C",'[2]Mapa final'!$O$62),"")</f>
        <v/>
      </c>
      <c r="S54" s="125" t="str">
        <f>IF(AND('[2]Mapa final'!$Y$63="Muy Baja",'[2]Mapa final'!$AA$63="Menor"),CONCATENATE("R9C",'[2]Mapa final'!$O$63),"")</f>
        <v/>
      </c>
      <c r="T54" s="125" t="str">
        <f>IF(AND('[2]Mapa final'!$Y$64="Muy Baja",'[2]Mapa final'!$AA$64="Menor"),CONCATENATE("R9C",'[2]Mapa final'!$O$64),"")</f>
        <v/>
      </c>
      <c r="U54" s="126" t="str">
        <f>IF(AND('[2]Mapa final'!$Y$65="Muy Baja",'[2]Mapa final'!$AA$65="Menor"),CONCATENATE("R9C",'[2]Mapa final'!$O$65),"")</f>
        <v/>
      </c>
      <c r="V54" s="115" t="str">
        <f>IF(AND('[2]Mapa final'!$Y$60="Muy Baja",'[2]Mapa final'!$AA$60="Moderado"),CONCATENATE("R9C",'[2]Mapa final'!$O$60),"")</f>
        <v/>
      </c>
      <c r="W54" s="116" t="str">
        <f>IF(AND('[2]Mapa final'!$Y$61="Muy Baja",'[2]Mapa final'!$AA$61="Moderado"),CONCATENATE("R9C",'[2]Mapa final'!$O$61),"")</f>
        <v/>
      </c>
      <c r="X54" s="116" t="str">
        <f>IF(AND('[2]Mapa final'!$Y$62="Muy Baja",'[2]Mapa final'!$AA$62="Moderado"),CONCATENATE("R9C",'[2]Mapa final'!$O$62),"")</f>
        <v/>
      </c>
      <c r="Y54" s="116" t="str">
        <f>IF(AND('[2]Mapa final'!$Y$63="Muy Baja",'[2]Mapa final'!$AA$63="Moderado"),CONCATENATE("R9C",'[2]Mapa final'!$O$63),"")</f>
        <v/>
      </c>
      <c r="Z54" s="116" t="str">
        <f>IF(AND('[2]Mapa final'!$Y$64="Muy Baja",'[2]Mapa final'!$AA$64="Moderado"),CONCATENATE("R9C",'[2]Mapa final'!$O$64),"")</f>
        <v/>
      </c>
      <c r="AA54" s="117" t="str">
        <f>IF(AND('[2]Mapa final'!$Y$65="Muy Baja",'[2]Mapa final'!$AA$65="Moderado"),CONCATENATE("R9C",'[2]Mapa final'!$O$65),"")</f>
        <v/>
      </c>
      <c r="AB54" s="100" t="str">
        <f>IF(AND('[2]Mapa final'!$Y$60="Muy Baja",'[2]Mapa final'!$AA$60="Mayor"),CONCATENATE("R9C",'[2]Mapa final'!$O$60),"")</f>
        <v/>
      </c>
      <c r="AC54" s="101" t="str">
        <f>IF(AND('[2]Mapa final'!$Y$61="Muy Baja",'[2]Mapa final'!$AA$61="Mayor"),CONCATENATE("R9C",'[2]Mapa final'!$O$61),"")</f>
        <v/>
      </c>
      <c r="AD54" s="101" t="str">
        <f>IF(AND('[2]Mapa final'!$Y$62="Muy Baja",'[2]Mapa final'!$AA$62="Mayor"),CONCATENATE("R9C",'[2]Mapa final'!$O$62),"")</f>
        <v/>
      </c>
      <c r="AE54" s="101" t="str">
        <f>IF(AND('[2]Mapa final'!$Y$63="Muy Baja",'[2]Mapa final'!$AA$63="Mayor"),CONCATENATE("R9C",'[2]Mapa final'!$O$63),"")</f>
        <v/>
      </c>
      <c r="AF54" s="101" t="str">
        <f>IF(AND('[2]Mapa final'!$Y$64="Muy Baja",'[2]Mapa final'!$AA$64="Mayor"),CONCATENATE("R9C",'[2]Mapa final'!$O$64),"")</f>
        <v/>
      </c>
      <c r="AG54" s="102" t="str">
        <f>IF(AND('[2]Mapa final'!$Y$65="Muy Baja",'[2]Mapa final'!$AA$65="Mayor"),CONCATENATE("R9C",'[2]Mapa final'!$O$65),"")</f>
        <v/>
      </c>
      <c r="AH54" s="103" t="str">
        <f>IF(AND('[2]Mapa final'!$Y$60="Muy Baja",'[2]Mapa final'!$AA$60="Catastrófico"),CONCATENATE("R9C",'[2]Mapa final'!$O$60),"")</f>
        <v/>
      </c>
      <c r="AI54" s="104" t="str">
        <f>IF(AND('[2]Mapa final'!$Y$61="Muy Baja",'[2]Mapa final'!$AA$61="Catastrófico"),CONCATENATE("R9C",'[2]Mapa final'!$O$61),"")</f>
        <v/>
      </c>
      <c r="AJ54" s="104" t="str">
        <f>IF(AND('[2]Mapa final'!$Y$62="Muy Baja",'[2]Mapa final'!$AA$62="Catastrófico"),CONCATENATE("R9C",'[2]Mapa final'!$O$62),"")</f>
        <v/>
      </c>
      <c r="AK54" s="104" t="str">
        <f>IF(AND('[2]Mapa final'!$Y$63="Muy Baja",'[2]Mapa final'!$AA$63="Catastrófico"),CONCATENATE("R9C",'[2]Mapa final'!$O$63),"")</f>
        <v/>
      </c>
      <c r="AL54" s="104" t="str">
        <f>IF(AND('[2]Mapa final'!$Y$64="Muy Baja",'[2]Mapa final'!$AA$64="Catastrófico"),CONCATENATE("R9C",'[2]Mapa final'!$O$64),"")</f>
        <v/>
      </c>
      <c r="AM54" s="105" t="str">
        <f>IF(AND('[2]Mapa final'!$Y$65="Muy Baja",'[2]Mapa final'!$AA$65="Catastrófico"),CONCATENATE("R9C",'[2]Mapa final'!$O$65),"")</f>
        <v/>
      </c>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U54" s="92"/>
      <c r="BV54" s="92"/>
      <c r="BW54" s="92"/>
      <c r="BX54" s="92"/>
      <c r="BY54" s="92"/>
      <c r="BZ54" s="92"/>
      <c r="CA54" s="92"/>
      <c r="CB54" s="92"/>
    </row>
    <row r="55" spans="1:80" ht="15.75" customHeight="1" thickBot="1">
      <c r="A55" s="92"/>
      <c r="B55" s="417"/>
      <c r="C55" s="417"/>
      <c r="D55" s="418"/>
      <c r="E55" s="425"/>
      <c r="F55" s="426"/>
      <c r="G55" s="426"/>
      <c r="H55" s="426"/>
      <c r="I55" s="427"/>
      <c r="J55" s="127" t="str">
        <f>IF(AND('[2]Mapa final'!$Y$66="Muy Baja",'[2]Mapa final'!$AA$66="Leve"),CONCATENATE("R10C",'[2]Mapa final'!$O$66),"")</f>
        <v/>
      </c>
      <c r="K55" s="128" t="str">
        <f>IF(AND('[2]Mapa final'!$Y$67="Muy Baja",'[2]Mapa final'!$AA$67="Leve"),CONCATENATE("R10C",'[2]Mapa final'!$O$67),"")</f>
        <v/>
      </c>
      <c r="L55" s="128" t="str">
        <f>IF(AND('[2]Mapa final'!$Y$68="Muy Baja",'[2]Mapa final'!$AA$68="Leve"),CONCATENATE("R10C",'[2]Mapa final'!$O$68),"")</f>
        <v/>
      </c>
      <c r="M55" s="128" t="str">
        <f>IF(AND('[2]Mapa final'!$Y$69="Muy Baja",'[2]Mapa final'!$AA$69="Leve"),CONCATENATE("R10C",'[2]Mapa final'!$O$69),"")</f>
        <v/>
      </c>
      <c r="N55" s="128" t="str">
        <f>IF(AND('[2]Mapa final'!$Y$70="Muy Baja",'[2]Mapa final'!$AA$70="Leve"),CONCATENATE("R10C",'[2]Mapa final'!$O$70),"")</f>
        <v/>
      </c>
      <c r="O55" s="129" t="str">
        <f>IF(AND('[2]Mapa final'!$Y$71="Muy Baja",'[2]Mapa final'!$AA$71="Leve"),CONCATENATE("R10C",'[2]Mapa final'!$O$71),"")</f>
        <v/>
      </c>
      <c r="P55" s="127" t="str">
        <f>IF(AND('[2]Mapa final'!$Y$66="Muy Baja",'[2]Mapa final'!$AA$66="Menor"),CONCATENATE("R10C",'[2]Mapa final'!$O$66),"")</f>
        <v/>
      </c>
      <c r="Q55" s="128" t="str">
        <f>IF(AND('[2]Mapa final'!$Y$67="Muy Baja",'[2]Mapa final'!$AA$67="Menor"),CONCATENATE("R10C",'[2]Mapa final'!$O$67),"")</f>
        <v/>
      </c>
      <c r="R55" s="128" t="str">
        <f>IF(AND('[2]Mapa final'!$Y$68="Muy Baja",'[2]Mapa final'!$AA$68="Menor"),CONCATENATE("R10C",'[2]Mapa final'!$O$68),"")</f>
        <v/>
      </c>
      <c r="S55" s="128" t="str">
        <f>IF(AND('[2]Mapa final'!$Y$69="Muy Baja",'[2]Mapa final'!$AA$69="Menor"),CONCATENATE("R10C",'[2]Mapa final'!$O$69),"")</f>
        <v/>
      </c>
      <c r="T55" s="128" t="str">
        <f>IF(AND('[2]Mapa final'!$Y$70="Muy Baja",'[2]Mapa final'!$AA$70="Menor"),CONCATENATE("R10C",'[2]Mapa final'!$O$70),"")</f>
        <v/>
      </c>
      <c r="U55" s="129" t="str">
        <f>IF(AND('[2]Mapa final'!$Y$71="Muy Baja",'[2]Mapa final'!$AA$71="Menor"),CONCATENATE("R10C",'[2]Mapa final'!$O$71),"")</f>
        <v/>
      </c>
      <c r="V55" s="118" t="str">
        <f>IF(AND('[2]Mapa final'!$Y$66="Muy Baja",'[2]Mapa final'!$AA$66="Moderado"),CONCATENATE("R10C",'[2]Mapa final'!$O$66),"")</f>
        <v/>
      </c>
      <c r="W55" s="119" t="str">
        <f>IF(AND('[2]Mapa final'!$Y$67="Muy Baja",'[2]Mapa final'!$AA$67="Moderado"),CONCATENATE("R10C",'[2]Mapa final'!$O$67),"")</f>
        <v/>
      </c>
      <c r="X55" s="119" t="str">
        <f>IF(AND('[2]Mapa final'!$Y$68="Muy Baja",'[2]Mapa final'!$AA$68="Moderado"),CONCATENATE("R10C",'[2]Mapa final'!$O$68),"")</f>
        <v/>
      </c>
      <c r="Y55" s="119" t="str">
        <f>IF(AND('[2]Mapa final'!$Y$69="Muy Baja",'[2]Mapa final'!$AA$69="Moderado"),CONCATENATE("R10C",'[2]Mapa final'!$O$69),"")</f>
        <v/>
      </c>
      <c r="Z55" s="119" t="str">
        <f>IF(AND('[2]Mapa final'!$Y$70="Muy Baja",'[2]Mapa final'!$AA$70="Moderado"),CONCATENATE("R10C",'[2]Mapa final'!$O$70),"")</f>
        <v/>
      </c>
      <c r="AA55" s="120" t="str">
        <f>IF(AND('[2]Mapa final'!$Y$71="Muy Baja",'[2]Mapa final'!$AA$71="Moderado"),CONCATENATE("R10C",'[2]Mapa final'!$O$71),"")</f>
        <v/>
      </c>
      <c r="AB55" s="106" t="str">
        <f>IF(AND('[2]Mapa final'!$Y$66="Muy Baja",'[2]Mapa final'!$AA$66="Mayor"),CONCATENATE("R10C",'[2]Mapa final'!$O$66),"")</f>
        <v/>
      </c>
      <c r="AC55" s="107" t="str">
        <f>IF(AND('[2]Mapa final'!$Y$67="Muy Baja",'[2]Mapa final'!$AA$67="Mayor"),CONCATENATE("R10C",'[2]Mapa final'!$O$67),"")</f>
        <v/>
      </c>
      <c r="AD55" s="107" t="str">
        <f>IF(AND('[2]Mapa final'!$Y$68="Muy Baja",'[2]Mapa final'!$AA$68="Mayor"),CONCATENATE("R10C",'[2]Mapa final'!$O$68),"")</f>
        <v/>
      </c>
      <c r="AE55" s="107" t="str">
        <f>IF(AND('[2]Mapa final'!$Y$69="Muy Baja",'[2]Mapa final'!$AA$69="Mayor"),CONCATENATE("R10C",'[2]Mapa final'!$O$69),"")</f>
        <v/>
      </c>
      <c r="AF55" s="107" t="str">
        <f>IF(AND('[2]Mapa final'!$Y$70="Muy Baja",'[2]Mapa final'!$AA$70="Mayor"),CONCATENATE("R10C",'[2]Mapa final'!$O$70),"")</f>
        <v/>
      </c>
      <c r="AG55" s="108" t="str">
        <f>IF(AND('[2]Mapa final'!$Y$71="Muy Baja",'[2]Mapa final'!$AA$71="Mayor"),CONCATENATE("R10C",'[2]Mapa final'!$O$71),"")</f>
        <v/>
      </c>
      <c r="AH55" s="109" t="str">
        <f>IF(AND('[2]Mapa final'!$Y$66="Muy Baja",'[2]Mapa final'!$AA$66="Catastrófico"),CONCATENATE("R10C",'[2]Mapa final'!$O$66),"")</f>
        <v/>
      </c>
      <c r="AI55" s="110" t="str">
        <f>IF(AND('[2]Mapa final'!$Y$67="Muy Baja",'[2]Mapa final'!$AA$67="Catastrófico"),CONCATENATE("R10C",'[2]Mapa final'!$O$67),"")</f>
        <v/>
      </c>
      <c r="AJ55" s="110" t="str">
        <f>IF(AND('[2]Mapa final'!$Y$68="Muy Baja",'[2]Mapa final'!$AA$68="Catastrófico"),CONCATENATE("R10C",'[2]Mapa final'!$O$68),"")</f>
        <v/>
      </c>
      <c r="AK55" s="110" t="str">
        <f>IF(AND('[2]Mapa final'!$Y$69="Muy Baja",'[2]Mapa final'!$AA$69="Catastrófico"),CONCATENATE("R10C",'[2]Mapa final'!$O$69),"")</f>
        <v/>
      </c>
      <c r="AL55" s="110" t="str">
        <f>IF(AND('[2]Mapa final'!$Y$70="Muy Baja",'[2]Mapa final'!$AA$70="Catastrófico"),CONCATENATE("R10C",'[2]Mapa final'!$O$70),"")</f>
        <v/>
      </c>
      <c r="AM55" s="111" t="str">
        <f>IF(AND('[2]Mapa final'!$Y$71="Muy Baja",'[2]Mapa final'!$AA$71="Catastrófico"),CONCATENATE("R10C",'[2]Mapa final'!$O$71),"")</f>
        <v/>
      </c>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row>
    <row r="56" spans="1:80">
      <c r="A56" s="92"/>
      <c r="B56" s="92"/>
      <c r="C56" s="92"/>
      <c r="D56" s="92"/>
      <c r="E56" s="92"/>
      <c r="F56" s="92"/>
      <c r="G56" s="92"/>
      <c r="H56" s="92"/>
      <c r="I56" s="92"/>
      <c r="J56" s="419" t="s">
        <v>528</v>
      </c>
      <c r="K56" s="420"/>
      <c r="L56" s="420"/>
      <c r="M56" s="420"/>
      <c r="N56" s="420"/>
      <c r="O56" s="421"/>
      <c r="P56" s="419" t="s">
        <v>529</v>
      </c>
      <c r="Q56" s="420"/>
      <c r="R56" s="420"/>
      <c r="S56" s="420"/>
      <c r="T56" s="420"/>
      <c r="U56" s="421"/>
      <c r="V56" s="419" t="s">
        <v>530</v>
      </c>
      <c r="W56" s="420"/>
      <c r="X56" s="420"/>
      <c r="Y56" s="420"/>
      <c r="Z56" s="420"/>
      <c r="AA56" s="421"/>
      <c r="AB56" s="419" t="s">
        <v>531</v>
      </c>
      <c r="AC56" s="428"/>
      <c r="AD56" s="420"/>
      <c r="AE56" s="420"/>
      <c r="AF56" s="420"/>
      <c r="AG56" s="421"/>
      <c r="AH56" s="419" t="s">
        <v>532</v>
      </c>
      <c r="AI56" s="420"/>
      <c r="AJ56" s="420"/>
      <c r="AK56" s="420"/>
      <c r="AL56" s="420"/>
      <c r="AM56" s="421"/>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row>
    <row r="57" spans="1:80">
      <c r="A57" s="92"/>
      <c r="B57" s="92"/>
      <c r="C57" s="92"/>
      <c r="D57" s="92"/>
      <c r="E57" s="92"/>
      <c r="F57" s="92"/>
      <c r="G57" s="92"/>
      <c r="H57" s="92"/>
      <c r="I57" s="92"/>
      <c r="J57" s="422"/>
      <c r="K57" s="423"/>
      <c r="L57" s="423"/>
      <c r="M57" s="423"/>
      <c r="N57" s="423"/>
      <c r="O57" s="424"/>
      <c r="P57" s="422"/>
      <c r="Q57" s="423"/>
      <c r="R57" s="423"/>
      <c r="S57" s="423"/>
      <c r="T57" s="423"/>
      <c r="U57" s="424"/>
      <c r="V57" s="422"/>
      <c r="W57" s="423"/>
      <c r="X57" s="423"/>
      <c r="Y57" s="423"/>
      <c r="Z57" s="423"/>
      <c r="AA57" s="424"/>
      <c r="AB57" s="422"/>
      <c r="AC57" s="423"/>
      <c r="AD57" s="423"/>
      <c r="AE57" s="423"/>
      <c r="AF57" s="423"/>
      <c r="AG57" s="424"/>
      <c r="AH57" s="422"/>
      <c r="AI57" s="423"/>
      <c r="AJ57" s="423"/>
      <c r="AK57" s="423"/>
      <c r="AL57" s="423"/>
      <c r="AM57" s="424"/>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row>
    <row r="58" spans="1:80">
      <c r="A58" s="92"/>
      <c r="B58" s="92"/>
      <c r="C58" s="92"/>
      <c r="D58" s="92"/>
      <c r="E58" s="92"/>
      <c r="F58" s="92"/>
      <c r="G58" s="92"/>
      <c r="H58" s="92"/>
      <c r="I58" s="92"/>
      <c r="J58" s="422"/>
      <c r="K58" s="423"/>
      <c r="L58" s="423"/>
      <c r="M58" s="423"/>
      <c r="N58" s="423"/>
      <c r="O58" s="424"/>
      <c r="P58" s="422"/>
      <c r="Q58" s="423"/>
      <c r="R58" s="423"/>
      <c r="S58" s="423"/>
      <c r="T58" s="423"/>
      <c r="U58" s="424"/>
      <c r="V58" s="422"/>
      <c r="W58" s="423"/>
      <c r="X58" s="423"/>
      <c r="Y58" s="423"/>
      <c r="Z58" s="423"/>
      <c r="AA58" s="424"/>
      <c r="AB58" s="422"/>
      <c r="AC58" s="423"/>
      <c r="AD58" s="423"/>
      <c r="AE58" s="423"/>
      <c r="AF58" s="423"/>
      <c r="AG58" s="424"/>
      <c r="AH58" s="422"/>
      <c r="AI58" s="423"/>
      <c r="AJ58" s="423"/>
      <c r="AK58" s="423"/>
      <c r="AL58" s="423"/>
      <c r="AM58" s="424"/>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row>
    <row r="59" spans="1:80">
      <c r="A59" s="92"/>
      <c r="B59" s="92"/>
      <c r="C59" s="92"/>
      <c r="D59" s="92"/>
      <c r="E59" s="92"/>
      <c r="F59" s="92"/>
      <c r="G59" s="92"/>
      <c r="H59" s="92"/>
      <c r="I59" s="92"/>
      <c r="J59" s="422"/>
      <c r="K59" s="423"/>
      <c r="L59" s="423"/>
      <c r="M59" s="423"/>
      <c r="N59" s="423"/>
      <c r="O59" s="424"/>
      <c r="P59" s="422"/>
      <c r="Q59" s="423"/>
      <c r="R59" s="423"/>
      <c r="S59" s="423"/>
      <c r="T59" s="423"/>
      <c r="U59" s="424"/>
      <c r="V59" s="422"/>
      <c r="W59" s="423"/>
      <c r="X59" s="423"/>
      <c r="Y59" s="423"/>
      <c r="Z59" s="423"/>
      <c r="AA59" s="424"/>
      <c r="AB59" s="422"/>
      <c r="AC59" s="423"/>
      <c r="AD59" s="423"/>
      <c r="AE59" s="423"/>
      <c r="AF59" s="423"/>
      <c r="AG59" s="424"/>
      <c r="AH59" s="422"/>
      <c r="AI59" s="423"/>
      <c r="AJ59" s="423"/>
      <c r="AK59" s="423"/>
      <c r="AL59" s="423"/>
      <c r="AM59" s="424"/>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row>
    <row r="60" spans="1:80">
      <c r="A60" s="92"/>
      <c r="B60" s="92"/>
      <c r="C60" s="92"/>
      <c r="D60" s="92"/>
      <c r="E60" s="92"/>
      <c r="F60" s="92"/>
      <c r="G60" s="92"/>
      <c r="H60" s="92"/>
      <c r="I60" s="92"/>
      <c r="J60" s="422"/>
      <c r="K60" s="423"/>
      <c r="L60" s="423"/>
      <c r="M60" s="423"/>
      <c r="N60" s="423"/>
      <c r="O60" s="424"/>
      <c r="P60" s="422"/>
      <c r="Q60" s="423"/>
      <c r="R60" s="423"/>
      <c r="S60" s="423"/>
      <c r="T60" s="423"/>
      <c r="U60" s="424"/>
      <c r="V60" s="422"/>
      <c r="W60" s="423"/>
      <c r="X60" s="423"/>
      <c r="Y60" s="423"/>
      <c r="Z60" s="423"/>
      <c r="AA60" s="424"/>
      <c r="AB60" s="422"/>
      <c r="AC60" s="423"/>
      <c r="AD60" s="423"/>
      <c r="AE60" s="423"/>
      <c r="AF60" s="423"/>
      <c r="AG60" s="424"/>
      <c r="AH60" s="422"/>
      <c r="AI60" s="423"/>
      <c r="AJ60" s="423"/>
      <c r="AK60" s="423"/>
      <c r="AL60" s="423"/>
      <c r="AM60" s="424"/>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row>
    <row r="61" spans="1:80" ht="14.45" thickBot="1">
      <c r="A61" s="92"/>
      <c r="B61" s="92"/>
      <c r="C61" s="92"/>
      <c r="D61" s="92"/>
      <c r="E61" s="92"/>
      <c r="F61" s="92"/>
      <c r="G61" s="92"/>
      <c r="H61" s="92"/>
      <c r="I61" s="92"/>
      <c r="J61" s="425"/>
      <c r="K61" s="426"/>
      <c r="L61" s="426"/>
      <c r="M61" s="426"/>
      <c r="N61" s="426"/>
      <c r="O61" s="427"/>
      <c r="P61" s="425"/>
      <c r="Q61" s="426"/>
      <c r="R61" s="426"/>
      <c r="S61" s="426"/>
      <c r="T61" s="426"/>
      <c r="U61" s="427"/>
      <c r="V61" s="425"/>
      <c r="W61" s="426"/>
      <c r="X61" s="426"/>
      <c r="Y61" s="426"/>
      <c r="Z61" s="426"/>
      <c r="AA61" s="427"/>
      <c r="AB61" s="425"/>
      <c r="AC61" s="426"/>
      <c r="AD61" s="426"/>
      <c r="AE61" s="426"/>
      <c r="AF61" s="426"/>
      <c r="AG61" s="427"/>
      <c r="AH61" s="425"/>
      <c r="AI61" s="426"/>
      <c r="AJ61" s="426"/>
      <c r="AK61" s="426"/>
      <c r="AL61" s="426"/>
      <c r="AM61" s="427"/>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row>
    <row r="62" spans="1:80">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row>
    <row r="63" spans="1:80" ht="15" customHeight="1">
      <c r="A63" s="92"/>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2"/>
      <c r="AV63" s="92"/>
      <c r="AW63" s="92"/>
      <c r="AX63" s="92"/>
      <c r="AY63" s="92"/>
      <c r="AZ63" s="92"/>
      <c r="BA63" s="92"/>
      <c r="BB63" s="92"/>
      <c r="BC63" s="92"/>
      <c r="BD63" s="92"/>
      <c r="BE63" s="92"/>
      <c r="BF63" s="92"/>
      <c r="BG63" s="92"/>
      <c r="BH63" s="92"/>
    </row>
    <row r="64" spans="1:80" ht="15" customHeight="1">
      <c r="A64" s="92"/>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2"/>
      <c r="AV64" s="92"/>
      <c r="AW64" s="92"/>
      <c r="AX64" s="92"/>
      <c r="AY64" s="92"/>
      <c r="AZ64" s="92"/>
      <c r="BA64" s="92"/>
      <c r="BB64" s="92"/>
      <c r="BC64" s="92"/>
      <c r="BD64" s="92"/>
      <c r="BE64" s="92"/>
      <c r="BF64" s="92"/>
      <c r="BG64" s="92"/>
      <c r="BH64" s="92"/>
    </row>
    <row r="65" spans="1:60">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row>
    <row r="66" spans="1:60">
      <c r="A66" s="92"/>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row>
    <row r="67" spans="1:60">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row>
    <row r="68" spans="1:60">
      <c r="A68" s="92"/>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row>
    <row r="69" spans="1:60">
      <c r="A69" s="92"/>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row>
    <row r="70" spans="1:60">
      <c r="A70" s="92"/>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row>
    <row r="71" spans="1:60">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row>
    <row r="72" spans="1:60">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row>
    <row r="73" spans="1:60">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2"/>
      <c r="BH73" s="92"/>
    </row>
    <row r="74" spans="1:60">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row>
    <row r="75" spans="1:60">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2"/>
      <c r="BH75" s="92"/>
    </row>
    <row r="76" spans="1:60">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row>
    <row r="77" spans="1:60">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row>
    <row r="78" spans="1:60">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row>
    <row r="79" spans="1:60">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row>
    <row r="80" spans="1:60">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row>
    <row r="81" spans="1:60">
      <c r="A81" s="92"/>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row>
    <row r="82" spans="1:60">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row>
    <row r="83" spans="1:60">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row>
    <row r="84" spans="1:60">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row>
    <row r="85" spans="1:60">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c r="BH85" s="92"/>
    </row>
    <row r="86" spans="1:60">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row>
    <row r="87" spans="1:60">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92"/>
    </row>
    <row r="88" spans="1:60">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2"/>
      <c r="BA88" s="92"/>
      <c r="BB88" s="92"/>
      <c r="BC88" s="92"/>
      <c r="BD88" s="92"/>
      <c r="BE88" s="92"/>
      <c r="BF88" s="92"/>
      <c r="BG88" s="92"/>
      <c r="BH88" s="92"/>
    </row>
    <row r="89" spans="1:60">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c r="BA89" s="92"/>
      <c r="BB89" s="92"/>
      <c r="BC89" s="92"/>
      <c r="BD89" s="92"/>
      <c r="BE89" s="92"/>
      <c r="BF89" s="92"/>
      <c r="BG89" s="92"/>
      <c r="BH89" s="92"/>
    </row>
    <row r="90" spans="1:60">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92"/>
      <c r="BE90" s="92"/>
      <c r="BF90" s="92"/>
      <c r="BG90" s="92"/>
      <c r="BH90" s="92"/>
    </row>
    <row r="91" spans="1:60">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92"/>
      <c r="BE91" s="92"/>
      <c r="BF91" s="92"/>
      <c r="BG91" s="92"/>
      <c r="BH91" s="92"/>
    </row>
    <row r="92" spans="1:60">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row>
    <row r="93" spans="1:60">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2"/>
      <c r="AY93" s="92"/>
      <c r="AZ93" s="92"/>
      <c r="BA93" s="92"/>
      <c r="BB93" s="92"/>
      <c r="BC93" s="92"/>
      <c r="BD93" s="92"/>
      <c r="BE93" s="92"/>
      <c r="BF93" s="92"/>
      <c r="BG93" s="92"/>
      <c r="BH93" s="92"/>
    </row>
    <row r="94" spans="1:60">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2"/>
      <c r="AR94" s="92"/>
      <c r="AS94" s="92"/>
      <c r="AT94" s="92"/>
      <c r="AU94" s="92"/>
      <c r="AV94" s="92"/>
      <c r="AW94" s="92"/>
      <c r="AX94" s="92"/>
      <c r="AY94" s="92"/>
      <c r="AZ94" s="92"/>
      <c r="BA94" s="92"/>
      <c r="BB94" s="92"/>
      <c r="BC94" s="92"/>
      <c r="BD94" s="92"/>
      <c r="BE94" s="92"/>
      <c r="BF94" s="92"/>
      <c r="BG94" s="92"/>
      <c r="BH94" s="92"/>
    </row>
    <row r="95" spans="1:60">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M95" s="92"/>
      <c r="AN95" s="92"/>
      <c r="AO95" s="92"/>
      <c r="AP95" s="92"/>
      <c r="AQ95" s="92"/>
      <c r="AR95" s="92"/>
      <c r="AS95" s="92"/>
      <c r="AT95" s="92"/>
      <c r="AU95" s="92"/>
      <c r="AV95" s="92"/>
      <c r="AW95" s="92"/>
      <c r="AX95" s="92"/>
      <c r="AY95" s="92"/>
      <c r="AZ95" s="92"/>
      <c r="BA95" s="92"/>
      <c r="BB95" s="92"/>
      <c r="BC95" s="92"/>
      <c r="BD95" s="92"/>
      <c r="BE95" s="92"/>
      <c r="BF95" s="92"/>
      <c r="BG95" s="92"/>
      <c r="BH95" s="92"/>
    </row>
    <row r="96" spans="1:60">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92"/>
      <c r="AN96" s="92"/>
      <c r="AO96" s="92"/>
      <c r="AP96" s="92"/>
      <c r="AQ96" s="92"/>
      <c r="AR96" s="92"/>
      <c r="AS96" s="92"/>
      <c r="AT96" s="92"/>
      <c r="AU96" s="92"/>
      <c r="AV96" s="92"/>
      <c r="AW96" s="92"/>
      <c r="AX96" s="92"/>
      <c r="AY96" s="92"/>
      <c r="AZ96" s="92"/>
      <c r="BA96" s="92"/>
      <c r="BB96" s="92"/>
      <c r="BC96" s="92"/>
      <c r="BD96" s="92"/>
      <c r="BE96" s="92"/>
      <c r="BF96" s="92"/>
      <c r="BG96" s="92"/>
      <c r="BH96" s="92"/>
    </row>
    <row r="97" spans="1:60">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c r="BA97" s="92"/>
      <c r="BB97" s="92"/>
      <c r="BC97" s="92"/>
      <c r="BD97" s="92"/>
      <c r="BE97" s="92"/>
      <c r="BF97" s="92"/>
      <c r="BG97" s="92"/>
      <c r="BH97" s="92"/>
    </row>
    <row r="98" spans="1:60">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c r="BA98" s="92"/>
      <c r="BB98" s="92"/>
      <c r="BC98" s="92"/>
      <c r="BD98" s="92"/>
      <c r="BE98" s="92"/>
      <c r="BF98" s="92"/>
      <c r="BG98" s="92"/>
      <c r="BH98" s="92"/>
    </row>
    <row r="99" spans="1:60">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92"/>
      <c r="AN99" s="92"/>
      <c r="AO99" s="92"/>
      <c r="AP99" s="92"/>
      <c r="AQ99" s="92"/>
      <c r="AR99" s="92"/>
      <c r="AS99" s="92"/>
      <c r="AT99" s="92"/>
      <c r="AU99" s="92"/>
      <c r="AV99" s="92"/>
      <c r="AW99" s="92"/>
      <c r="AX99" s="92"/>
      <c r="AY99" s="92"/>
      <c r="AZ99" s="92"/>
      <c r="BA99" s="92"/>
      <c r="BB99" s="92"/>
      <c r="BC99" s="92"/>
      <c r="BD99" s="92"/>
      <c r="BE99" s="92"/>
      <c r="BF99" s="92"/>
      <c r="BG99" s="92"/>
      <c r="BH99" s="92"/>
    </row>
    <row r="100" spans="1:60">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2"/>
      <c r="AZ100" s="92"/>
      <c r="BA100" s="92"/>
      <c r="BB100" s="92"/>
      <c r="BC100" s="92"/>
      <c r="BD100" s="92"/>
      <c r="BE100" s="92"/>
      <c r="BF100" s="92"/>
      <c r="BG100" s="92"/>
      <c r="BH100" s="92"/>
    </row>
    <row r="101" spans="1:60">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row>
    <row r="102" spans="1:60">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c r="BA102" s="92"/>
      <c r="BB102" s="92"/>
      <c r="BC102" s="92"/>
      <c r="BD102" s="92"/>
      <c r="BE102" s="92"/>
      <c r="BF102" s="92"/>
      <c r="BG102" s="92"/>
      <c r="BH102" s="92"/>
    </row>
    <row r="103" spans="1:60">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c r="BF103" s="92"/>
      <c r="BG103" s="92"/>
      <c r="BH103" s="92"/>
    </row>
    <row r="104" spans="1:60">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92"/>
      <c r="AX104" s="92"/>
      <c r="AY104" s="92"/>
      <c r="AZ104" s="92"/>
      <c r="BA104" s="92"/>
      <c r="BB104" s="92"/>
      <c r="BC104" s="92"/>
      <c r="BD104" s="92"/>
      <c r="BE104" s="92"/>
      <c r="BF104" s="92"/>
      <c r="BG104" s="92"/>
      <c r="BH104" s="92"/>
    </row>
    <row r="105" spans="1:60">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c r="AO105" s="92"/>
      <c r="AP105" s="92"/>
      <c r="AQ105" s="92"/>
      <c r="AR105" s="92"/>
      <c r="AS105" s="92"/>
      <c r="AT105" s="92"/>
      <c r="AU105" s="92"/>
      <c r="AV105" s="92"/>
      <c r="AW105" s="92"/>
      <c r="AX105" s="92"/>
      <c r="AY105" s="92"/>
      <c r="AZ105" s="92"/>
      <c r="BA105" s="92"/>
      <c r="BB105" s="92"/>
      <c r="BC105" s="92"/>
      <c r="BD105" s="92"/>
      <c r="BE105" s="92"/>
      <c r="BF105" s="92"/>
      <c r="BG105" s="92"/>
      <c r="BH105" s="92"/>
    </row>
    <row r="106" spans="1:60">
      <c r="A106" s="9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2"/>
      <c r="AY106" s="92"/>
      <c r="AZ106" s="92"/>
      <c r="BA106" s="92"/>
      <c r="BB106" s="92"/>
      <c r="BC106" s="92"/>
      <c r="BD106" s="92"/>
      <c r="BE106" s="92"/>
      <c r="BF106" s="92"/>
      <c r="BG106" s="92"/>
      <c r="BH106" s="92"/>
    </row>
    <row r="107" spans="1:60">
      <c r="A107" s="9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c r="AO107" s="92"/>
      <c r="AP107" s="92"/>
      <c r="AQ107" s="92"/>
      <c r="AR107" s="92"/>
      <c r="AS107" s="92"/>
      <c r="AT107" s="92"/>
      <c r="AU107" s="92"/>
      <c r="AV107" s="92"/>
      <c r="AW107" s="92"/>
      <c r="AX107" s="92"/>
      <c r="AY107" s="92"/>
      <c r="AZ107" s="92"/>
      <c r="BA107" s="92"/>
      <c r="BB107" s="92"/>
      <c r="BC107" s="92"/>
      <c r="BD107" s="92"/>
      <c r="BE107" s="92"/>
      <c r="BF107" s="92"/>
      <c r="BG107" s="92"/>
      <c r="BH107" s="92"/>
    </row>
    <row r="108" spans="1:60">
      <c r="A108" s="9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c r="AO108" s="92"/>
      <c r="AP108" s="92"/>
      <c r="AQ108" s="92"/>
      <c r="AR108" s="92"/>
      <c r="AS108" s="92"/>
      <c r="AT108" s="92"/>
      <c r="AU108" s="92"/>
      <c r="AV108" s="92"/>
      <c r="AW108" s="92"/>
      <c r="AX108" s="92"/>
      <c r="AY108" s="92"/>
      <c r="AZ108" s="92"/>
      <c r="BA108" s="92"/>
      <c r="BB108" s="92"/>
      <c r="BC108" s="92"/>
      <c r="BD108" s="92"/>
      <c r="BE108" s="92"/>
      <c r="BF108" s="92"/>
      <c r="BG108" s="92"/>
      <c r="BH108" s="92"/>
    </row>
    <row r="109" spans="1:60">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c r="AO109" s="92"/>
      <c r="AP109" s="92"/>
      <c r="AQ109" s="92"/>
      <c r="AR109" s="92"/>
      <c r="AS109" s="92"/>
      <c r="AT109" s="92"/>
      <c r="AU109" s="92"/>
      <c r="AV109" s="92"/>
      <c r="AW109" s="92"/>
      <c r="AX109" s="92"/>
      <c r="AY109" s="92"/>
      <c r="AZ109" s="92"/>
      <c r="BA109" s="92"/>
      <c r="BB109" s="92"/>
      <c r="BC109" s="92"/>
      <c r="BD109" s="92"/>
      <c r="BE109" s="92"/>
      <c r="BF109" s="92"/>
      <c r="BG109" s="92"/>
      <c r="BH109" s="92"/>
    </row>
    <row r="110" spans="1:60">
      <c r="A110" s="9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2"/>
      <c r="AL110" s="92"/>
      <c r="AM110" s="92"/>
      <c r="AN110" s="92"/>
      <c r="AO110" s="92"/>
      <c r="AP110" s="92"/>
      <c r="AQ110" s="92"/>
      <c r="AR110" s="92"/>
      <c r="AS110" s="92"/>
      <c r="AT110" s="92"/>
      <c r="AU110" s="92"/>
      <c r="AV110" s="92"/>
      <c r="AW110" s="92"/>
      <c r="AX110" s="92"/>
      <c r="AY110" s="92"/>
      <c r="AZ110" s="92"/>
      <c r="BA110" s="92"/>
      <c r="BB110" s="92"/>
      <c r="BC110" s="92"/>
      <c r="BD110" s="92"/>
      <c r="BE110" s="92"/>
      <c r="BF110" s="92"/>
      <c r="BG110" s="92"/>
      <c r="BH110" s="92"/>
    </row>
    <row r="111" spans="1:60">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2"/>
      <c r="AW111" s="92"/>
      <c r="AX111" s="92"/>
      <c r="AY111" s="92"/>
      <c r="AZ111" s="92"/>
      <c r="BA111" s="92"/>
      <c r="BB111" s="92"/>
      <c r="BC111" s="92"/>
      <c r="BD111" s="92"/>
      <c r="BE111" s="92"/>
      <c r="BF111" s="92"/>
      <c r="BG111" s="92"/>
      <c r="BH111" s="92"/>
    </row>
    <row r="112" spans="1:60">
      <c r="A112" s="9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2"/>
      <c r="AO112" s="92"/>
      <c r="AP112" s="92"/>
      <c r="AQ112" s="92"/>
      <c r="AR112" s="92"/>
      <c r="AS112" s="92"/>
      <c r="AT112" s="92"/>
      <c r="AU112" s="92"/>
      <c r="AV112" s="92"/>
      <c r="AW112" s="92"/>
      <c r="AX112" s="92"/>
      <c r="AY112" s="92"/>
      <c r="AZ112" s="92"/>
      <c r="BA112" s="92"/>
      <c r="BB112" s="92"/>
      <c r="BC112" s="92"/>
      <c r="BD112" s="92"/>
      <c r="BE112" s="92"/>
      <c r="BF112" s="92"/>
      <c r="BG112" s="92"/>
      <c r="BH112" s="92"/>
    </row>
    <row r="113" spans="1:60">
      <c r="A113" s="9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2"/>
      <c r="AK113" s="92"/>
      <c r="AL113" s="92"/>
      <c r="AM113" s="92"/>
      <c r="AN113" s="92"/>
      <c r="AO113" s="92"/>
      <c r="AP113" s="92"/>
      <c r="AQ113" s="92"/>
      <c r="AR113" s="92"/>
      <c r="AS113" s="92"/>
      <c r="AT113" s="92"/>
      <c r="AU113" s="92"/>
      <c r="AV113" s="92"/>
      <c r="AW113" s="92"/>
      <c r="AX113" s="92"/>
      <c r="AY113" s="92"/>
      <c r="AZ113" s="92"/>
      <c r="BA113" s="92"/>
      <c r="BB113" s="92"/>
      <c r="BC113" s="92"/>
      <c r="BD113" s="92"/>
      <c r="BE113" s="92"/>
      <c r="BF113" s="92"/>
      <c r="BG113" s="92"/>
      <c r="BH113" s="92"/>
    </row>
    <row r="114" spans="1:60">
      <c r="A114" s="9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c r="AD114" s="92"/>
      <c r="AE114" s="92"/>
      <c r="AF114" s="92"/>
      <c r="AG114" s="92"/>
      <c r="AH114" s="92"/>
      <c r="AI114" s="92"/>
      <c r="AJ114" s="92"/>
      <c r="AK114" s="92"/>
      <c r="AL114" s="92"/>
      <c r="AM114" s="92"/>
      <c r="AN114" s="92"/>
      <c r="AO114" s="92"/>
      <c r="AP114" s="92"/>
      <c r="AQ114" s="92"/>
      <c r="AR114" s="92"/>
      <c r="AS114" s="92"/>
      <c r="AT114" s="92"/>
      <c r="AU114" s="92"/>
      <c r="AV114" s="92"/>
      <c r="AW114" s="92"/>
      <c r="AX114" s="92"/>
      <c r="AY114" s="92"/>
      <c r="AZ114" s="92"/>
      <c r="BA114" s="92"/>
      <c r="BB114" s="92"/>
      <c r="BC114" s="92"/>
      <c r="BD114" s="92"/>
      <c r="BE114" s="92"/>
      <c r="BF114" s="92"/>
      <c r="BG114" s="92"/>
      <c r="BH114" s="92"/>
    </row>
    <row r="115" spans="1:60">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92"/>
      <c r="AF115" s="92"/>
      <c r="AG115" s="92"/>
      <c r="AH115" s="92"/>
      <c r="AI115" s="92"/>
      <c r="AJ115" s="92"/>
      <c r="AK115" s="92"/>
      <c r="AL115" s="92"/>
      <c r="AM115" s="92"/>
      <c r="AN115" s="92"/>
      <c r="AO115" s="92"/>
      <c r="AP115" s="92"/>
      <c r="AQ115" s="92"/>
      <c r="AR115" s="92"/>
      <c r="AS115" s="92"/>
      <c r="AT115" s="92"/>
      <c r="AU115" s="92"/>
      <c r="AV115" s="92"/>
      <c r="AW115" s="92"/>
      <c r="AX115" s="92"/>
      <c r="AY115" s="92"/>
      <c r="AZ115" s="92"/>
      <c r="BA115" s="92"/>
      <c r="BB115" s="92"/>
      <c r="BC115" s="92"/>
      <c r="BD115" s="92"/>
      <c r="BE115" s="92"/>
      <c r="BF115" s="92"/>
      <c r="BG115" s="92"/>
      <c r="BH115" s="92"/>
    </row>
    <row r="116" spans="1:60">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c r="AK116" s="92"/>
      <c r="AL116" s="92"/>
      <c r="AM116" s="92"/>
      <c r="AN116" s="92"/>
      <c r="AO116" s="92"/>
      <c r="AP116" s="92"/>
      <c r="AQ116" s="92"/>
      <c r="AR116" s="92"/>
      <c r="AS116" s="92"/>
      <c r="AT116" s="92"/>
      <c r="AU116" s="92"/>
      <c r="AV116" s="92"/>
      <c r="AW116" s="92"/>
      <c r="AX116" s="92"/>
      <c r="AY116" s="92"/>
      <c r="AZ116" s="92"/>
      <c r="BA116" s="92"/>
      <c r="BB116" s="92"/>
      <c r="BC116" s="92"/>
      <c r="BD116" s="92"/>
      <c r="BE116" s="92"/>
      <c r="BF116" s="92"/>
      <c r="BG116" s="92"/>
      <c r="BH116" s="92"/>
    </row>
    <row r="117" spans="1:60">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c r="AB117" s="92"/>
      <c r="AC117" s="92"/>
      <c r="AD117" s="92"/>
      <c r="AE117" s="92"/>
      <c r="AF117" s="92"/>
      <c r="AG117" s="92"/>
      <c r="AH117" s="92"/>
      <c r="AI117" s="92"/>
      <c r="AJ117" s="92"/>
      <c r="AK117" s="92"/>
      <c r="AL117" s="92"/>
      <c r="AM117" s="92"/>
      <c r="AN117" s="92"/>
      <c r="AO117" s="92"/>
      <c r="AP117" s="92"/>
      <c r="AQ117" s="92"/>
      <c r="AR117" s="92"/>
      <c r="AS117" s="92"/>
      <c r="AT117" s="92"/>
      <c r="AU117" s="92"/>
      <c r="AV117" s="92"/>
      <c r="AW117" s="92"/>
      <c r="AX117" s="92"/>
      <c r="AY117" s="92"/>
      <c r="AZ117" s="92"/>
      <c r="BA117" s="92"/>
      <c r="BB117" s="92"/>
      <c r="BC117" s="92"/>
      <c r="BD117" s="92"/>
      <c r="BE117" s="92"/>
      <c r="BF117" s="92"/>
      <c r="BG117" s="92"/>
      <c r="BH117" s="92"/>
    </row>
    <row r="118" spans="1:60">
      <c r="A118" s="9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92"/>
      <c r="BE118" s="92"/>
      <c r="BF118" s="92"/>
      <c r="BG118" s="92"/>
      <c r="BH118" s="92"/>
    </row>
    <row r="119" spans="1:60">
      <c r="A119" s="9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92"/>
      <c r="AE119" s="92"/>
      <c r="AF119" s="92"/>
      <c r="AG119" s="92"/>
      <c r="AH119" s="92"/>
      <c r="AI119" s="92"/>
      <c r="AJ119" s="92"/>
      <c r="AK119" s="92"/>
      <c r="AL119" s="92"/>
      <c r="AM119" s="92"/>
      <c r="AN119" s="92"/>
      <c r="AO119" s="92"/>
      <c r="AP119" s="92"/>
      <c r="AQ119" s="92"/>
      <c r="AR119" s="92"/>
      <c r="AS119" s="92"/>
      <c r="AT119" s="92"/>
      <c r="AU119" s="92"/>
      <c r="AV119" s="92"/>
      <c r="AW119" s="92"/>
      <c r="AX119" s="92"/>
      <c r="AY119" s="92"/>
      <c r="AZ119" s="92"/>
      <c r="BA119" s="92"/>
      <c r="BB119" s="92"/>
      <c r="BC119" s="92"/>
      <c r="BD119" s="92"/>
      <c r="BE119" s="92"/>
      <c r="BF119" s="92"/>
      <c r="BG119" s="92"/>
      <c r="BH119" s="92"/>
    </row>
    <row r="120" spans="1:60">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c r="AE120" s="92"/>
      <c r="AF120" s="92"/>
      <c r="AG120" s="92"/>
      <c r="AH120" s="92"/>
      <c r="AI120" s="92"/>
      <c r="AJ120" s="92"/>
      <c r="AK120" s="92"/>
      <c r="AL120" s="92"/>
      <c r="AM120" s="92"/>
      <c r="AN120" s="92"/>
      <c r="AO120" s="92"/>
      <c r="AP120" s="92"/>
      <c r="AQ120" s="92"/>
      <c r="AR120" s="92"/>
      <c r="AS120" s="92"/>
      <c r="AT120" s="92"/>
      <c r="AU120" s="92"/>
      <c r="AV120" s="92"/>
      <c r="AW120" s="92"/>
      <c r="AX120" s="92"/>
      <c r="AY120" s="92"/>
      <c r="AZ120" s="92"/>
      <c r="BA120" s="92"/>
      <c r="BB120" s="92"/>
      <c r="BC120" s="92"/>
      <c r="BD120" s="92"/>
      <c r="BE120" s="92"/>
      <c r="BF120" s="92"/>
      <c r="BG120" s="92"/>
      <c r="BH120" s="92"/>
    </row>
    <row r="121" spans="1:60">
      <c r="A121" s="9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c r="AG121" s="92"/>
      <c r="AH121" s="92"/>
      <c r="AI121" s="92"/>
      <c r="AJ121" s="92"/>
      <c r="AK121" s="92"/>
      <c r="AL121" s="92"/>
      <c r="AM121" s="92"/>
      <c r="AN121" s="92"/>
      <c r="AO121" s="92"/>
      <c r="AP121" s="92"/>
      <c r="AQ121" s="92"/>
      <c r="AR121" s="92"/>
      <c r="AS121" s="92"/>
      <c r="AT121" s="92"/>
      <c r="AU121" s="92"/>
      <c r="AV121" s="92"/>
      <c r="AW121" s="92"/>
      <c r="AX121" s="92"/>
      <c r="AY121" s="92"/>
      <c r="AZ121" s="92"/>
      <c r="BA121" s="92"/>
      <c r="BB121" s="92"/>
      <c r="BC121" s="92"/>
      <c r="BD121" s="92"/>
      <c r="BE121" s="92"/>
      <c r="BF121" s="92"/>
      <c r="BG121" s="92"/>
      <c r="BH121" s="92"/>
    </row>
    <row r="122" spans="1:60">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2"/>
      <c r="AX122" s="92"/>
      <c r="AY122" s="92"/>
      <c r="AZ122" s="92"/>
      <c r="BA122" s="92"/>
      <c r="BB122" s="92"/>
      <c r="BC122" s="92"/>
      <c r="BD122" s="92"/>
      <c r="BE122" s="92"/>
      <c r="BF122" s="92"/>
      <c r="BG122" s="92"/>
      <c r="BH122" s="92"/>
    </row>
    <row r="123" spans="1:60">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c r="BA123" s="92"/>
      <c r="BB123" s="92"/>
      <c r="BC123" s="92"/>
      <c r="BD123" s="92"/>
      <c r="BE123" s="92"/>
      <c r="BF123" s="92"/>
      <c r="BG123" s="92"/>
      <c r="BH123" s="92"/>
    </row>
    <row r="124" spans="1:60">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2"/>
      <c r="AW124" s="92"/>
      <c r="AX124" s="92"/>
      <c r="AY124" s="92"/>
      <c r="AZ124" s="92"/>
      <c r="BA124" s="92"/>
      <c r="BB124" s="92"/>
      <c r="BC124" s="92"/>
      <c r="BD124" s="92"/>
      <c r="BE124" s="92"/>
      <c r="BF124" s="92"/>
      <c r="BG124" s="92"/>
      <c r="BH124" s="92"/>
    </row>
    <row r="125" spans="1:60">
      <c r="A125" s="9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c r="AH125" s="92"/>
      <c r="AI125" s="92"/>
      <c r="AJ125" s="92"/>
      <c r="AK125" s="92"/>
      <c r="AL125" s="92"/>
      <c r="AM125" s="92"/>
      <c r="AN125" s="92"/>
      <c r="AO125" s="92"/>
      <c r="AP125" s="92"/>
      <c r="AQ125" s="92"/>
      <c r="AR125" s="92"/>
      <c r="AS125" s="92"/>
      <c r="AT125" s="92"/>
      <c r="AU125" s="92"/>
      <c r="AV125" s="92"/>
      <c r="AW125" s="92"/>
      <c r="AX125" s="92"/>
      <c r="AY125" s="92"/>
      <c r="AZ125" s="92"/>
      <c r="BA125" s="92"/>
      <c r="BB125" s="92"/>
      <c r="BC125" s="92"/>
      <c r="BD125" s="92"/>
      <c r="BE125" s="92"/>
      <c r="BF125" s="92"/>
      <c r="BG125" s="92"/>
      <c r="BH125" s="92"/>
    </row>
    <row r="126" spans="1:60">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c r="AH126" s="92"/>
      <c r="AI126" s="92"/>
      <c r="AJ126" s="92"/>
      <c r="AK126" s="92"/>
      <c r="AL126" s="92"/>
      <c r="AM126" s="92"/>
      <c r="AN126" s="92"/>
      <c r="AO126" s="92"/>
      <c r="AP126" s="92"/>
      <c r="AQ126" s="92"/>
      <c r="AR126" s="92"/>
      <c r="AS126" s="92"/>
      <c r="AT126" s="92"/>
      <c r="AU126" s="92"/>
      <c r="AV126" s="92"/>
      <c r="AW126" s="92"/>
      <c r="AX126" s="92"/>
      <c r="AY126" s="92"/>
      <c r="AZ126" s="92"/>
      <c r="BA126" s="92"/>
      <c r="BB126" s="92"/>
      <c r="BC126" s="92"/>
      <c r="BD126" s="92"/>
      <c r="BE126" s="92"/>
      <c r="BF126" s="92"/>
      <c r="BG126" s="92"/>
      <c r="BH126" s="92"/>
    </row>
    <row r="127" spans="1:60">
      <c r="A127" s="9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c r="AD127" s="92"/>
      <c r="AE127" s="92"/>
      <c r="AF127" s="92"/>
      <c r="AG127" s="92"/>
      <c r="AH127" s="92"/>
      <c r="AI127" s="92"/>
      <c r="AJ127" s="92"/>
      <c r="AK127" s="92"/>
      <c r="AL127" s="92"/>
      <c r="AM127" s="92"/>
      <c r="AN127" s="92"/>
      <c r="AO127" s="92"/>
      <c r="AP127" s="92"/>
      <c r="AQ127" s="92"/>
      <c r="AR127" s="92"/>
      <c r="AS127" s="92"/>
      <c r="AT127" s="92"/>
      <c r="AU127" s="92"/>
      <c r="AV127" s="92"/>
      <c r="AW127" s="92"/>
      <c r="AX127" s="92"/>
      <c r="AY127" s="92"/>
      <c r="AZ127" s="92"/>
      <c r="BA127" s="92"/>
      <c r="BB127" s="92"/>
      <c r="BC127" s="92"/>
      <c r="BD127" s="92"/>
      <c r="BE127" s="92"/>
      <c r="BF127" s="92"/>
      <c r="BG127" s="92"/>
      <c r="BH127" s="92"/>
    </row>
    <row r="128" spans="1:60">
      <c r="A128" s="9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c r="AG128" s="92"/>
      <c r="AH128" s="92"/>
      <c r="AI128" s="92"/>
      <c r="AJ128" s="92"/>
      <c r="AK128" s="92"/>
      <c r="AL128" s="92"/>
      <c r="AM128" s="92"/>
      <c r="AN128" s="92"/>
      <c r="AO128" s="92"/>
      <c r="AP128" s="92"/>
      <c r="AQ128" s="92"/>
      <c r="AR128" s="92"/>
      <c r="AS128" s="92"/>
      <c r="AT128" s="92"/>
      <c r="AU128" s="92"/>
      <c r="AV128" s="92"/>
      <c r="AW128" s="92"/>
      <c r="AX128" s="92"/>
      <c r="AY128" s="92"/>
      <c r="AZ128" s="92"/>
      <c r="BA128" s="92"/>
      <c r="BB128" s="92"/>
      <c r="BC128" s="92"/>
      <c r="BD128" s="92"/>
      <c r="BE128" s="92"/>
      <c r="BF128" s="92"/>
      <c r="BG128" s="92"/>
      <c r="BH128" s="92"/>
    </row>
    <row r="129" spans="1:60">
      <c r="A129" s="92"/>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92"/>
      <c r="AD129" s="92"/>
      <c r="AE129" s="92"/>
      <c r="AF129" s="92"/>
      <c r="AG129" s="92"/>
      <c r="AH129" s="92"/>
      <c r="AI129" s="92"/>
      <c r="AJ129" s="92"/>
      <c r="AK129" s="92"/>
      <c r="AL129" s="92"/>
      <c r="AM129" s="92"/>
      <c r="AN129" s="92"/>
      <c r="AO129" s="92"/>
      <c r="AP129" s="92"/>
      <c r="AQ129" s="92"/>
      <c r="AR129" s="92"/>
      <c r="AS129" s="92"/>
      <c r="AT129" s="92"/>
      <c r="AU129" s="92"/>
      <c r="AV129" s="92"/>
      <c r="AW129" s="92"/>
      <c r="AX129" s="92"/>
      <c r="AY129" s="92"/>
      <c r="AZ129" s="92"/>
      <c r="BA129" s="92"/>
      <c r="BB129" s="92"/>
      <c r="BC129" s="92"/>
      <c r="BD129" s="92"/>
      <c r="BE129" s="92"/>
      <c r="BF129" s="92"/>
      <c r="BG129" s="92"/>
      <c r="BH129" s="92"/>
    </row>
    <row r="130" spans="1:60">
      <c r="A130" s="92"/>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2"/>
      <c r="AX130" s="92"/>
      <c r="AY130" s="92"/>
      <c r="AZ130" s="92"/>
      <c r="BA130" s="92"/>
      <c r="BB130" s="92"/>
      <c r="BC130" s="92"/>
      <c r="BD130" s="92"/>
      <c r="BE130" s="92"/>
      <c r="BF130" s="92"/>
      <c r="BG130" s="92"/>
      <c r="BH130" s="92"/>
    </row>
    <row r="131" spans="1:60">
      <c r="A131" s="92"/>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c r="AB131" s="92"/>
      <c r="AC131" s="92"/>
      <c r="AD131" s="92"/>
      <c r="AE131" s="92"/>
      <c r="AF131" s="92"/>
      <c r="AG131" s="92"/>
      <c r="AH131" s="92"/>
      <c r="AI131" s="92"/>
      <c r="AJ131" s="92"/>
      <c r="AK131" s="92"/>
      <c r="AL131" s="92"/>
      <c r="AM131" s="92"/>
      <c r="AN131" s="92"/>
      <c r="AO131" s="92"/>
      <c r="AP131" s="92"/>
      <c r="AQ131" s="92"/>
      <c r="AR131" s="92"/>
      <c r="AS131" s="92"/>
      <c r="AT131" s="92"/>
      <c r="AU131" s="92"/>
      <c r="AV131" s="92"/>
      <c r="AW131" s="92"/>
      <c r="AX131" s="92"/>
      <c r="AY131" s="92"/>
      <c r="AZ131" s="92"/>
      <c r="BA131" s="92"/>
      <c r="BB131" s="92"/>
      <c r="BC131" s="92"/>
      <c r="BD131" s="92"/>
      <c r="BE131" s="92"/>
      <c r="BF131" s="92"/>
      <c r="BG131" s="92"/>
      <c r="BH131" s="92"/>
    </row>
    <row r="132" spans="1:60">
      <c r="A132" s="92"/>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c r="BE132" s="92"/>
      <c r="BF132" s="92"/>
      <c r="BG132" s="92"/>
      <c r="BH132" s="92"/>
    </row>
    <row r="133" spans="1:60">
      <c r="A133" s="9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c r="AG133" s="92"/>
      <c r="AH133" s="92"/>
      <c r="AI133" s="92"/>
      <c r="AJ133" s="92"/>
      <c r="AK133" s="92"/>
      <c r="AL133" s="92"/>
      <c r="AM133" s="92"/>
      <c r="AN133" s="92"/>
      <c r="AO133" s="92"/>
      <c r="AP133" s="92"/>
      <c r="AQ133" s="92"/>
      <c r="AR133" s="92"/>
      <c r="AS133" s="92"/>
      <c r="AT133" s="92"/>
      <c r="AU133" s="92"/>
      <c r="AV133" s="92"/>
      <c r="AW133" s="92"/>
      <c r="AX133" s="92"/>
      <c r="AY133" s="92"/>
      <c r="AZ133" s="92"/>
      <c r="BA133" s="92"/>
      <c r="BB133" s="92"/>
      <c r="BC133" s="92"/>
      <c r="BD133" s="92"/>
      <c r="BE133" s="92"/>
      <c r="BF133" s="92"/>
      <c r="BG133" s="92"/>
      <c r="BH133" s="92"/>
    </row>
    <row r="134" spans="1:60">
      <c r="A134" s="92"/>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92"/>
      <c r="AG134" s="92"/>
      <c r="AH134" s="92"/>
      <c r="AI134" s="92"/>
      <c r="AJ134" s="92"/>
      <c r="AK134" s="92"/>
      <c r="AL134" s="92"/>
      <c r="AM134" s="92"/>
      <c r="AN134" s="92"/>
      <c r="AO134" s="92"/>
      <c r="AP134" s="92"/>
      <c r="AQ134" s="92"/>
      <c r="AR134" s="92"/>
      <c r="AS134" s="92"/>
      <c r="AT134" s="92"/>
      <c r="AU134" s="92"/>
      <c r="AV134" s="92"/>
      <c r="AW134" s="92"/>
      <c r="AX134" s="92"/>
      <c r="AY134" s="92"/>
      <c r="AZ134" s="92"/>
      <c r="BA134" s="92"/>
      <c r="BB134" s="92"/>
      <c r="BC134" s="92"/>
      <c r="BD134" s="92"/>
      <c r="BE134" s="92"/>
      <c r="BF134" s="92"/>
      <c r="BG134" s="92"/>
      <c r="BH134" s="92"/>
    </row>
    <row r="135" spans="1:60">
      <c r="A135" s="92"/>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2"/>
      <c r="AC135" s="92"/>
      <c r="AD135" s="92"/>
      <c r="AE135" s="92"/>
      <c r="AF135" s="92"/>
      <c r="AG135" s="92"/>
      <c r="AH135" s="92"/>
      <c r="AI135" s="92"/>
      <c r="AJ135" s="92"/>
      <c r="AK135" s="92"/>
      <c r="AL135" s="92"/>
      <c r="AM135" s="92"/>
      <c r="AN135" s="92"/>
      <c r="AO135" s="92"/>
      <c r="AP135" s="92"/>
      <c r="AQ135" s="92"/>
      <c r="AR135" s="92"/>
      <c r="AS135" s="92"/>
      <c r="AT135" s="92"/>
      <c r="AU135" s="92"/>
      <c r="AV135" s="92"/>
      <c r="AW135" s="92"/>
      <c r="AX135" s="92"/>
      <c r="AY135" s="92"/>
      <c r="AZ135" s="92"/>
      <c r="BA135" s="92"/>
      <c r="BB135" s="92"/>
      <c r="BC135" s="92"/>
      <c r="BD135" s="92"/>
      <c r="BE135" s="92"/>
      <c r="BF135" s="92"/>
      <c r="BG135" s="92"/>
      <c r="BH135" s="92"/>
    </row>
    <row r="136" spans="1:60">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c r="AG136" s="92"/>
      <c r="AH136" s="92"/>
      <c r="AI136" s="92"/>
      <c r="AJ136" s="92"/>
      <c r="AK136" s="92"/>
      <c r="AL136" s="92"/>
      <c r="AM136" s="92"/>
      <c r="AN136" s="92"/>
      <c r="AO136" s="92"/>
      <c r="AP136" s="92"/>
      <c r="AQ136" s="92"/>
      <c r="AR136" s="92"/>
      <c r="AS136" s="92"/>
      <c r="AT136" s="92"/>
      <c r="AU136" s="92"/>
      <c r="AV136" s="92"/>
      <c r="AW136" s="92"/>
      <c r="AX136" s="92"/>
      <c r="AY136" s="92"/>
      <c r="AZ136" s="92"/>
      <c r="BA136" s="92"/>
      <c r="BB136" s="92"/>
      <c r="BC136" s="92"/>
      <c r="BD136" s="92"/>
      <c r="BE136" s="92"/>
      <c r="BF136" s="92"/>
      <c r="BG136" s="92"/>
      <c r="BH136" s="92"/>
    </row>
    <row r="137" spans="1:60">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c r="AW137" s="92"/>
      <c r="AX137" s="92"/>
      <c r="AY137" s="92"/>
      <c r="AZ137" s="92"/>
      <c r="BA137" s="92"/>
      <c r="BB137" s="92"/>
      <c r="BC137" s="92"/>
      <c r="BD137" s="92"/>
      <c r="BE137" s="92"/>
      <c r="BF137" s="92"/>
      <c r="BG137" s="92"/>
      <c r="BH137" s="92"/>
    </row>
    <row r="138" spans="1:60">
      <c r="A138" s="9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92"/>
      <c r="AD138" s="92"/>
      <c r="AE138" s="92"/>
      <c r="AF138" s="92"/>
      <c r="AG138" s="92"/>
      <c r="AH138" s="92"/>
      <c r="AI138" s="92"/>
      <c r="AJ138" s="92"/>
      <c r="AK138" s="92"/>
      <c r="AL138" s="92"/>
      <c r="AM138" s="92"/>
      <c r="AN138" s="92"/>
      <c r="AO138" s="92"/>
      <c r="AP138" s="92"/>
      <c r="AQ138" s="92"/>
      <c r="AR138" s="92"/>
      <c r="AS138" s="92"/>
      <c r="AT138" s="92"/>
      <c r="AU138" s="92"/>
      <c r="AV138" s="92"/>
      <c r="AW138" s="92"/>
      <c r="AX138" s="92"/>
      <c r="AY138" s="92"/>
      <c r="AZ138" s="92"/>
      <c r="BA138" s="92"/>
      <c r="BB138" s="92"/>
      <c r="BC138" s="92"/>
      <c r="BD138" s="92"/>
      <c r="BE138" s="92"/>
      <c r="BF138" s="92"/>
      <c r="BG138" s="92"/>
      <c r="BH138" s="92"/>
    </row>
    <row r="139" spans="1:60">
      <c r="A139" s="92"/>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92"/>
      <c r="AN139" s="92"/>
      <c r="AO139" s="92"/>
      <c r="AP139" s="92"/>
      <c r="AQ139" s="92"/>
      <c r="AR139" s="92"/>
      <c r="AS139" s="92"/>
      <c r="AT139" s="92"/>
      <c r="AU139" s="92"/>
      <c r="AV139" s="92"/>
      <c r="AW139" s="92"/>
      <c r="AX139" s="92"/>
      <c r="AY139" s="92"/>
      <c r="AZ139" s="92"/>
      <c r="BA139" s="92"/>
      <c r="BB139" s="92"/>
      <c r="BC139" s="92"/>
      <c r="BD139" s="92"/>
      <c r="BE139" s="92"/>
      <c r="BF139" s="92"/>
      <c r="BG139" s="92"/>
      <c r="BH139" s="92"/>
    </row>
    <row r="140" spans="1:60">
      <c r="A140" s="92"/>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92"/>
      <c r="AN140" s="92"/>
      <c r="AO140" s="92"/>
      <c r="AP140" s="92"/>
      <c r="AQ140" s="92"/>
      <c r="AR140" s="92"/>
      <c r="AS140" s="92"/>
      <c r="AT140" s="92"/>
      <c r="AU140" s="92"/>
      <c r="AV140" s="92"/>
      <c r="AW140" s="92"/>
      <c r="AX140" s="92"/>
      <c r="AY140" s="92"/>
      <c r="AZ140" s="92"/>
      <c r="BA140" s="92"/>
      <c r="BB140" s="92"/>
      <c r="BC140" s="92"/>
      <c r="BD140" s="92"/>
      <c r="BE140" s="92"/>
      <c r="BF140" s="92"/>
      <c r="BG140" s="92"/>
      <c r="BH140" s="92"/>
    </row>
    <row r="141" spans="1:60">
      <c r="A141" s="92"/>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2"/>
      <c r="AN141" s="92"/>
      <c r="AO141" s="92"/>
      <c r="AP141" s="92"/>
      <c r="AQ141" s="92"/>
      <c r="AR141" s="92"/>
      <c r="AS141" s="92"/>
      <c r="AT141" s="92"/>
      <c r="AU141" s="92"/>
      <c r="AV141" s="92"/>
      <c r="AW141" s="92"/>
      <c r="AX141" s="92"/>
      <c r="AY141" s="92"/>
      <c r="AZ141" s="92"/>
      <c r="BA141" s="92"/>
      <c r="BB141" s="92"/>
      <c r="BC141" s="92"/>
      <c r="BD141" s="92"/>
      <c r="BE141" s="92"/>
      <c r="BF141" s="92"/>
      <c r="BG141" s="92"/>
      <c r="BH141" s="92"/>
    </row>
    <row r="142" spans="1:60">
      <c r="A142" s="9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92"/>
      <c r="AN142" s="92"/>
      <c r="AO142" s="92"/>
      <c r="AP142" s="92"/>
      <c r="AQ142" s="92"/>
      <c r="AR142" s="92"/>
      <c r="AS142" s="92"/>
      <c r="AT142" s="92"/>
      <c r="AU142" s="92"/>
      <c r="AV142" s="92"/>
      <c r="AW142" s="92"/>
      <c r="AX142" s="92"/>
      <c r="AY142" s="92"/>
      <c r="AZ142" s="92"/>
      <c r="BA142" s="92"/>
      <c r="BB142" s="92"/>
      <c r="BC142" s="92"/>
      <c r="BD142" s="92"/>
      <c r="BE142" s="92"/>
      <c r="BF142" s="92"/>
      <c r="BG142" s="92"/>
      <c r="BH142" s="92"/>
    </row>
    <row r="143" spans="1:60">
      <c r="A143" s="92"/>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c r="AD143" s="92"/>
      <c r="AE143" s="92"/>
      <c r="AF143" s="92"/>
      <c r="AG143" s="92"/>
      <c r="AH143" s="92"/>
      <c r="AI143" s="92"/>
      <c r="AJ143" s="92"/>
      <c r="AK143" s="92"/>
      <c r="AL143" s="92"/>
      <c r="AM143" s="92"/>
      <c r="AN143" s="92"/>
      <c r="AO143" s="92"/>
      <c r="AP143" s="92"/>
      <c r="AQ143" s="92"/>
      <c r="AR143" s="92"/>
      <c r="AS143" s="92"/>
      <c r="AT143" s="92"/>
      <c r="AU143" s="92"/>
      <c r="AV143" s="92"/>
      <c r="AW143" s="92"/>
      <c r="AX143" s="92"/>
      <c r="AY143" s="92"/>
      <c r="AZ143" s="92"/>
      <c r="BA143" s="92"/>
      <c r="BB143" s="92"/>
      <c r="BC143" s="92"/>
      <c r="BD143" s="92"/>
      <c r="BE143" s="92"/>
      <c r="BF143" s="92"/>
      <c r="BG143" s="92"/>
      <c r="BH143" s="92"/>
    </row>
    <row r="144" spans="1:60">
      <c r="A144" s="92"/>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c r="AK144" s="92"/>
      <c r="AL144" s="92"/>
      <c r="AM144" s="92"/>
      <c r="AN144" s="92"/>
      <c r="AO144" s="92"/>
      <c r="AP144" s="92"/>
      <c r="AQ144" s="92"/>
      <c r="AR144" s="92"/>
      <c r="AS144" s="92"/>
      <c r="AT144" s="92"/>
      <c r="AU144" s="92"/>
      <c r="AV144" s="92"/>
      <c r="AW144" s="92"/>
      <c r="AX144" s="92"/>
      <c r="AY144" s="92"/>
      <c r="AZ144" s="92"/>
      <c r="BA144" s="92"/>
      <c r="BB144" s="92"/>
      <c r="BC144" s="92"/>
      <c r="BD144" s="92"/>
      <c r="BE144" s="92"/>
      <c r="BF144" s="92"/>
      <c r="BG144" s="92"/>
      <c r="BH144" s="92"/>
    </row>
    <row r="145" spans="1:60">
      <c r="A145" s="92"/>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c r="AD145" s="92"/>
      <c r="AE145" s="92"/>
      <c r="AF145" s="92"/>
      <c r="AG145" s="92"/>
      <c r="AH145" s="92"/>
      <c r="AI145" s="92"/>
      <c r="AJ145" s="92"/>
      <c r="AK145" s="92"/>
      <c r="AL145" s="92"/>
      <c r="AM145" s="92"/>
      <c r="AN145" s="92"/>
      <c r="AO145" s="92"/>
      <c r="AP145" s="92"/>
      <c r="AQ145" s="92"/>
      <c r="AR145" s="92"/>
      <c r="AS145" s="92"/>
      <c r="AT145" s="92"/>
      <c r="AU145" s="92"/>
      <c r="AV145" s="92"/>
      <c r="AW145" s="92"/>
      <c r="AX145" s="92"/>
      <c r="AY145" s="92"/>
      <c r="AZ145" s="92"/>
      <c r="BA145" s="92"/>
      <c r="BB145" s="92"/>
      <c r="BC145" s="92"/>
      <c r="BD145" s="92"/>
      <c r="BE145" s="92"/>
      <c r="BF145" s="92"/>
      <c r="BG145" s="92"/>
      <c r="BH145" s="92"/>
    </row>
    <row r="146" spans="1:60">
      <c r="A146" s="9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c r="AD146" s="92"/>
      <c r="AE146" s="92"/>
      <c r="AF146" s="92"/>
      <c r="AG146" s="92"/>
      <c r="AH146" s="92"/>
      <c r="AI146" s="92"/>
      <c r="AJ146" s="92"/>
      <c r="AK146" s="92"/>
      <c r="AL146" s="92"/>
      <c r="AM146" s="92"/>
      <c r="AN146" s="92"/>
      <c r="AO146" s="92"/>
      <c r="AP146" s="92"/>
      <c r="AQ146" s="92"/>
      <c r="AR146" s="92"/>
      <c r="AS146" s="92"/>
      <c r="AT146" s="92"/>
      <c r="AU146" s="92"/>
      <c r="AV146" s="92"/>
      <c r="AW146" s="92"/>
      <c r="AX146" s="92"/>
      <c r="AY146" s="92"/>
      <c r="AZ146" s="92"/>
      <c r="BA146" s="92"/>
      <c r="BB146" s="92"/>
      <c r="BC146" s="92"/>
      <c r="BD146" s="92"/>
      <c r="BE146" s="92"/>
      <c r="BF146" s="92"/>
      <c r="BG146" s="92"/>
      <c r="BH146" s="92"/>
    </row>
    <row r="147" spans="1:60">
      <c r="A147" s="9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c r="AB147" s="92"/>
      <c r="AC147" s="92"/>
      <c r="AD147" s="92"/>
      <c r="AE147" s="92"/>
      <c r="AF147" s="92"/>
      <c r="AG147" s="92"/>
      <c r="AH147" s="92"/>
      <c r="AI147" s="92"/>
      <c r="AJ147" s="92"/>
      <c r="AK147" s="92"/>
      <c r="AL147" s="92"/>
      <c r="AM147" s="92"/>
      <c r="AN147" s="92"/>
      <c r="AO147" s="92"/>
      <c r="AP147" s="92"/>
      <c r="AQ147" s="92"/>
      <c r="AR147" s="92"/>
      <c r="AS147" s="92"/>
      <c r="AT147" s="92"/>
      <c r="AU147" s="92"/>
      <c r="AV147" s="92"/>
      <c r="AW147" s="92"/>
      <c r="AX147" s="92"/>
      <c r="AY147" s="92"/>
      <c r="AZ147" s="92"/>
      <c r="BA147" s="92"/>
      <c r="BB147" s="92"/>
      <c r="BC147" s="92"/>
      <c r="BD147" s="92"/>
      <c r="BE147" s="92"/>
      <c r="BF147" s="92"/>
      <c r="BG147" s="92"/>
      <c r="BH147" s="92"/>
    </row>
    <row r="148" spans="1:60">
      <c r="A148" s="9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92"/>
      <c r="AD148" s="92"/>
      <c r="AE148" s="92"/>
      <c r="AF148" s="92"/>
      <c r="AG148" s="92"/>
      <c r="AH148" s="92"/>
      <c r="AI148" s="92"/>
      <c r="AJ148" s="92"/>
      <c r="AK148" s="92"/>
      <c r="AL148" s="92"/>
      <c r="AM148" s="92"/>
      <c r="AN148" s="92"/>
      <c r="AO148" s="92"/>
      <c r="AP148" s="92"/>
      <c r="AQ148" s="92"/>
      <c r="AR148" s="92"/>
      <c r="AS148" s="92"/>
      <c r="AT148" s="92"/>
      <c r="AU148" s="92"/>
      <c r="AV148" s="92"/>
      <c r="AW148" s="92"/>
      <c r="AX148" s="92"/>
      <c r="AY148" s="92"/>
      <c r="AZ148" s="92"/>
      <c r="BA148" s="92"/>
      <c r="BB148" s="92"/>
      <c r="BC148" s="92"/>
      <c r="BD148" s="92"/>
      <c r="BE148" s="92"/>
      <c r="BF148" s="92"/>
      <c r="BG148" s="92"/>
      <c r="BH148" s="92"/>
    </row>
    <row r="149" spans="1:60">
      <c r="A149" s="9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92"/>
      <c r="AE149" s="92"/>
      <c r="AF149" s="92"/>
      <c r="AG149" s="92"/>
      <c r="AH149" s="92"/>
      <c r="AI149" s="92"/>
      <c r="AJ149" s="92"/>
      <c r="AK149" s="92"/>
      <c r="AL149" s="92"/>
      <c r="AM149" s="92"/>
      <c r="AN149" s="92"/>
      <c r="AO149" s="92"/>
      <c r="AP149" s="92"/>
      <c r="AQ149" s="92"/>
      <c r="AR149" s="92"/>
      <c r="AS149" s="92"/>
      <c r="AT149" s="92"/>
      <c r="AU149" s="92"/>
      <c r="AV149" s="92"/>
      <c r="AW149" s="92"/>
      <c r="AX149" s="92"/>
      <c r="AY149" s="92"/>
      <c r="AZ149" s="92"/>
      <c r="BA149" s="92"/>
      <c r="BB149" s="92"/>
      <c r="BC149" s="92"/>
      <c r="BD149" s="92"/>
      <c r="BE149" s="92"/>
      <c r="BF149" s="92"/>
      <c r="BG149" s="92"/>
      <c r="BH149" s="92"/>
    </row>
    <row r="150" spans="1:60">
      <c r="A150" s="9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92"/>
      <c r="AF150" s="92"/>
      <c r="AG150" s="92"/>
      <c r="AH150" s="92"/>
      <c r="AI150" s="92"/>
      <c r="AJ150" s="92"/>
      <c r="AK150" s="92"/>
      <c r="AL150" s="92"/>
      <c r="AM150" s="92"/>
      <c r="AN150" s="92"/>
      <c r="AO150" s="92"/>
      <c r="AP150" s="92"/>
      <c r="AQ150" s="92"/>
      <c r="AR150" s="92"/>
      <c r="AS150" s="92"/>
      <c r="AT150" s="92"/>
      <c r="AU150" s="92"/>
      <c r="AV150" s="92"/>
      <c r="AW150" s="92"/>
      <c r="AX150" s="92"/>
      <c r="AY150" s="92"/>
      <c r="AZ150" s="92"/>
      <c r="BA150" s="92"/>
      <c r="BB150" s="92"/>
      <c r="BC150" s="92"/>
      <c r="BD150" s="92"/>
      <c r="BE150" s="92"/>
      <c r="BF150" s="92"/>
      <c r="BG150" s="92"/>
      <c r="BH150" s="92"/>
    </row>
    <row r="151" spans="1:60">
      <c r="A151" s="9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2"/>
      <c r="AC151" s="92"/>
      <c r="AD151" s="92"/>
      <c r="AE151" s="92"/>
      <c r="AF151" s="92"/>
      <c r="AG151" s="92"/>
      <c r="AH151" s="92"/>
      <c r="AI151" s="92"/>
      <c r="AJ151" s="92"/>
      <c r="AK151" s="92"/>
      <c r="AL151" s="92"/>
      <c r="AM151" s="92"/>
      <c r="AN151" s="92"/>
      <c r="AO151" s="92"/>
      <c r="AP151" s="92"/>
      <c r="AQ151" s="92"/>
      <c r="AR151" s="92"/>
      <c r="AS151" s="92"/>
      <c r="AT151" s="92"/>
      <c r="AU151" s="92"/>
      <c r="AV151" s="92"/>
      <c r="AW151" s="92"/>
      <c r="AX151" s="92"/>
      <c r="AY151" s="92"/>
      <c r="AZ151" s="92"/>
      <c r="BA151" s="92"/>
      <c r="BB151" s="92"/>
      <c r="BC151" s="92"/>
      <c r="BD151" s="92"/>
      <c r="BE151" s="92"/>
      <c r="BF151" s="92"/>
      <c r="BG151" s="92"/>
      <c r="BH151" s="92"/>
    </row>
    <row r="152" spans="1:60">
      <c r="A152" s="92"/>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c r="AB152" s="92"/>
      <c r="AC152" s="92"/>
      <c r="AD152" s="92"/>
      <c r="AE152" s="92"/>
      <c r="AF152" s="92"/>
      <c r="AG152" s="92"/>
      <c r="AH152" s="92"/>
      <c r="AI152" s="92"/>
      <c r="AJ152" s="92"/>
      <c r="AK152" s="92"/>
      <c r="AL152" s="92"/>
      <c r="AM152" s="92"/>
      <c r="AN152" s="92"/>
      <c r="AO152" s="92"/>
      <c r="AP152" s="92"/>
      <c r="AQ152" s="92"/>
      <c r="AR152" s="92"/>
      <c r="AS152" s="92"/>
      <c r="AT152" s="92"/>
      <c r="AU152" s="92"/>
      <c r="AV152" s="92"/>
      <c r="AW152" s="92"/>
      <c r="AX152" s="92"/>
      <c r="AY152" s="92"/>
      <c r="AZ152" s="92"/>
      <c r="BA152" s="92"/>
      <c r="BB152" s="92"/>
      <c r="BC152" s="92"/>
      <c r="BD152" s="92"/>
      <c r="BE152" s="92"/>
      <c r="BF152" s="92"/>
      <c r="BG152" s="92"/>
      <c r="BH152" s="92"/>
    </row>
    <row r="153" spans="1:60">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2"/>
      <c r="AC153" s="92"/>
      <c r="AD153" s="92"/>
      <c r="AE153" s="92"/>
      <c r="AF153" s="92"/>
      <c r="AG153" s="92"/>
      <c r="AH153" s="92"/>
      <c r="AI153" s="92"/>
      <c r="AJ153" s="92"/>
      <c r="AK153" s="92"/>
      <c r="AL153" s="92"/>
      <c r="AM153" s="92"/>
      <c r="AN153" s="92"/>
      <c r="AO153" s="92"/>
      <c r="AP153" s="92"/>
      <c r="AQ153" s="92"/>
      <c r="AR153" s="92"/>
      <c r="AS153" s="92"/>
      <c r="AT153" s="92"/>
      <c r="AU153" s="92"/>
      <c r="AV153" s="92"/>
      <c r="AW153" s="92"/>
      <c r="AX153" s="92"/>
      <c r="AY153" s="92"/>
      <c r="AZ153" s="92"/>
      <c r="BA153" s="92"/>
      <c r="BB153" s="92"/>
      <c r="BC153" s="92"/>
      <c r="BD153" s="92"/>
      <c r="BE153" s="92"/>
      <c r="BF153" s="92"/>
      <c r="BG153" s="92"/>
      <c r="BH153" s="92"/>
    </row>
    <row r="154" spans="1:60">
      <c r="A154" s="9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c r="AD154" s="92"/>
      <c r="AE154" s="92"/>
      <c r="AF154" s="92"/>
      <c r="AG154" s="92"/>
      <c r="AH154" s="92"/>
      <c r="AI154" s="92"/>
      <c r="AJ154" s="92"/>
      <c r="AK154" s="92"/>
      <c r="AL154" s="92"/>
      <c r="AM154" s="92"/>
      <c r="AN154" s="92"/>
      <c r="AO154" s="92"/>
      <c r="AP154" s="92"/>
      <c r="AQ154" s="92"/>
      <c r="AR154" s="92"/>
      <c r="AS154" s="92"/>
      <c r="AT154" s="92"/>
      <c r="AU154" s="92"/>
      <c r="AV154" s="92"/>
      <c r="AW154" s="92"/>
      <c r="AX154" s="92"/>
      <c r="AY154" s="92"/>
      <c r="AZ154" s="92"/>
      <c r="BA154" s="92"/>
      <c r="BB154" s="92"/>
      <c r="BC154" s="92"/>
      <c r="BD154" s="92"/>
      <c r="BE154" s="92"/>
      <c r="BF154" s="92"/>
      <c r="BG154" s="92"/>
      <c r="BH154" s="92"/>
    </row>
    <row r="155" spans="1:60">
      <c r="A155" s="92"/>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2"/>
      <c r="AC155" s="92"/>
      <c r="AD155" s="92"/>
      <c r="AE155" s="92"/>
      <c r="AF155" s="92"/>
      <c r="AG155" s="92"/>
      <c r="AH155" s="92"/>
      <c r="AI155" s="92"/>
      <c r="AJ155" s="92"/>
      <c r="AK155" s="92"/>
      <c r="AL155" s="92"/>
      <c r="AM155" s="92"/>
      <c r="AN155" s="92"/>
      <c r="AO155" s="92"/>
      <c r="AP155" s="92"/>
      <c r="AQ155" s="92"/>
      <c r="AR155" s="92"/>
      <c r="AS155" s="92"/>
      <c r="AT155" s="92"/>
      <c r="AU155" s="92"/>
      <c r="AV155" s="92"/>
      <c r="AW155" s="92"/>
      <c r="AX155" s="92"/>
      <c r="AY155" s="92"/>
      <c r="AZ155" s="92"/>
      <c r="BA155" s="92"/>
      <c r="BB155" s="92"/>
      <c r="BC155" s="92"/>
      <c r="BD155" s="92"/>
      <c r="BE155" s="92"/>
      <c r="BF155" s="92"/>
      <c r="BG155" s="92"/>
      <c r="BH155" s="92"/>
    </row>
    <row r="156" spans="1:60">
      <c r="A156" s="9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c r="AD156" s="92"/>
      <c r="AE156" s="92"/>
      <c r="AF156" s="92"/>
      <c r="AG156" s="92"/>
      <c r="AH156" s="92"/>
      <c r="AI156" s="92"/>
      <c r="AJ156" s="92"/>
      <c r="AK156" s="92"/>
      <c r="AL156" s="92"/>
      <c r="AM156" s="92"/>
      <c r="AN156" s="92"/>
      <c r="AO156" s="92"/>
      <c r="AP156" s="92"/>
      <c r="AQ156" s="92"/>
      <c r="AR156" s="92"/>
      <c r="AS156" s="92"/>
      <c r="AT156" s="92"/>
      <c r="AU156" s="92"/>
      <c r="AV156" s="92"/>
      <c r="AW156" s="92"/>
      <c r="AX156" s="92"/>
      <c r="AY156" s="92"/>
      <c r="AZ156" s="92"/>
      <c r="BA156" s="92"/>
      <c r="BB156" s="92"/>
      <c r="BC156" s="92"/>
      <c r="BD156" s="92"/>
      <c r="BE156" s="92"/>
      <c r="BF156" s="92"/>
      <c r="BG156" s="92"/>
      <c r="BH156" s="92"/>
    </row>
    <row r="157" spans="1:60">
      <c r="A157" s="92"/>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c r="AB157" s="92"/>
      <c r="AC157" s="92"/>
      <c r="AD157" s="92"/>
      <c r="AE157" s="92"/>
      <c r="AF157" s="92"/>
      <c r="AG157" s="92"/>
      <c r="AH157" s="92"/>
      <c r="AI157" s="92"/>
      <c r="AJ157" s="92"/>
      <c r="AK157" s="92"/>
      <c r="AL157" s="92"/>
      <c r="AM157" s="92"/>
      <c r="AN157" s="92"/>
      <c r="AO157" s="92"/>
      <c r="AP157" s="92"/>
      <c r="AQ157" s="92"/>
      <c r="AR157" s="92"/>
      <c r="AS157" s="92"/>
      <c r="AT157" s="92"/>
      <c r="AU157" s="92"/>
      <c r="AV157" s="92"/>
      <c r="AW157" s="92"/>
      <c r="AX157" s="92"/>
      <c r="AY157" s="92"/>
      <c r="AZ157" s="92"/>
      <c r="BA157" s="92"/>
      <c r="BB157" s="92"/>
      <c r="BC157" s="92"/>
      <c r="BD157" s="92"/>
      <c r="BE157" s="92"/>
      <c r="BF157" s="92"/>
      <c r="BG157" s="92"/>
      <c r="BH157" s="92"/>
    </row>
    <row r="158" spans="1:60">
      <c r="A158" s="92"/>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c r="AD158" s="92"/>
      <c r="AE158" s="92"/>
      <c r="AF158" s="92"/>
      <c r="AG158" s="92"/>
      <c r="AH158" s="92"/>
      <c r="AI158" s="92"/>
      <c r="AJ158" s="92"/>
      <c r="AK158" s="92"/>
      <c r="AL158" s="92"/>
      <c r="AM158" s="92"/>
      <c r="AN158" s="92"/>
      <c r="AO158" s="92"/>
      <c r="AP158" s="92"/>
      <c r="AQ158" s="92"/>
      <c r="AR158" s="92"/>
      <c r="AS158" s="92"/>
      <c r="AT158" s="92"/>
      <c r="AU158" s="92"/>
      <c r="AV158" s="92"/>
      <c r="AW158" s="92"/>
      <c r="AX158" s="92"/>
      <c r="AY158" s="92"/>
      <c r="AZ158" s="92"/>
      <c r="BA158" s="92"/>
      <c r="BB158" s="92"/>
      <c r="BC158" s="92"/>
      <c r="BD158" s="92"/>
      <c r="BE158" s="92"/>
      <c r="BF158" s="92"/>
      <c r="BG158" s="92"/>
      <c r="BH158" s="92"/>
    </row>
    <row r="159" spans="1:60">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2"/>
      <c r="AC159" s="92"/>
      <c r="AD159" s="92"/>
      <c r="AE159" s="92"/>
      <c r="AF159" s="92"/>
      <c r="AG159" s="92"/>
      <c r="AH159" s="92"/>
      <c r="AI159" s="92"/>
      <c r="AJ159" s="92"/>
      <c r="AK159" s="92"/>
      <c r="AL159" s="92"/>
      <c r="AM159" s="92"/>
      <c r="AN159" s="92"/>
      <c r="AO159" s="92"/>
      <c r="AP159" s="92"/>
      <c r="AQ159" s="92"/>
      <c r="AR159" s="92"/>
      <c r="AS159" s="92"/>
      <c r="AT159" s="92"/>
      <c r="AU159" s="92"/>
      <c r="AV159" s="92"/>
      <c r="AW159" s="92"/>
      <c r="AX159" s="92"/>
      <c r="AY159" s="92"/>
      <c r="AZ159" s="92"/>
      <c r="BA159" s="92"/>
      <c r="BB159" s="92"/>
      <c r="BC159" s="92"/>
      <c r="BD159" s="92"/>
      <c r="BE159" s="92"/>
      <c r="BF159" s="92"/>
      <c r="BG159" s="92"/>
      <c r="BH159" s="92"/>
    </row>
    <row r="160" spans="1:60">
      <c r="A160" s="92"/>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2"/>
      <c r="AC160" s="92"/>
      <c r="AD160" s="92"/>
      <c r="AE160" s="92"/>
      <c r="AF160" s="92"/>
      <c r="AG160" s="92"/>
      <c r="AH160" s="92"/>
      <c r="AI160" s="92"/>
      <c r="AJ160" s="92"/>
      <c r="AK160" s="92"/>
      <c r="AL160" s="92"/>
      <c r="AM160" s="92"/>
      <c r="AN160" s="92"/>
      <c r="AO160" s="92"/>
      <c r="AP160" s="92"/>
      <c r="AQ160" s="92"/>
      <c r="AR160" s="92"/>
      <c r="AS160" s="92"/>
      <c r="AT160" s="92"/>
      <c r="AU160" s="92"/>
      <c r="AV160" s="92"/>
      <c r="AW160" s="92"/>
      <c r="AX160" s="92"/>
      <c r="AY160" s="92"/>
      <c r="AZ160" s="92"/>
      <c r="BA160" s="92"/>
      <c r="BB160" s="92"/>
      <c r="BC160" s="92"/>
      <c r="BD160" s="92"/>
      <c r="BE160" s="92"/>
      <c r="BF160" s="92"/>
      <c r="BG160" s="92"/>
      <c r="BH160" s="92"/>
    </row>
    <row r="161" spans="1:60">
      <c r="A161" s="92"/>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c r="AB161" s="92"/>
      <c r="AC161" s="92"/>
      <c r="AD161" s="92"/>
      <c r="AE161" s="92"/>
      <c r="AF161" s="92"/>
      <c r="AG161" s="92"/>
      <c r="AH161" s="92"/>
      <c r="AI161" s="92"/>
      <c r="AJ161" s="92"/>
      <c r="AK161" s="92"/>
      <c r="AL161" s="92"/>
      <c r="AM161" s="92"/>
      <c r="AN161" s="92"/>
      <c r="AO161" s="92"/>
      <c r="AP161" s="92"/>
      <c r="AQ161" s="92"/>
      <c r="AR161" s="92"/>
      <c r="AS161" s="92"/>
      <c r="AT161" s="92"/>
      <c r="AU161" s="92"/>
      <c r="AV161" s="92"/>
      <c r="AW161" s="92"/>
      <c r="AX161" s="92"/>
      <c r="AY161" s="92"/>
      <c r="AZ161" s="92"/>
      <c r="BA161" s="92"/>
      <c r="BB161" s="92"/>
      <c r="BC161" s="92"/>
      <c r="BD161" s="92"/>
      <c r="BE161" s="92"/>
      <c r="BF161" s="92"/>
      <c r="BG161" s="92"/>
      <c r="BH161" s="92"/>
    </row>
    <row r="162" spans="1:60">
      <c r="A162" s="92"/>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c r="AB162" s="92"/>
      <c r="AC162" s="92"/>
      <c r="AD162" s="92"/>
      <c r="AE162" s="92"/>
      <c r="AF162" s="92"/>
      <c r="AG162" s="92"/>
      <c r="AH162" s="92"/>
      <c r="AI162" s="92"/>
      <c r="AJ162" s="92"/>
      <c r="AK162" s="92"/>
      <c r="AL162" s="92"/>
      <c r="AM162" s="92"/>
      <c r="AN162" s="92"/>
      <c r="AO162" s="92"/>
      <c r="AP162" s="92"/>
      <c r="AQ162" s="92"/>
      <c r="AR162" s="92"/>
      <c r="AS162" s="92"/>
      <c r="AT162" s="92"/>
      <c r="AU162" s="92"/>
      <c r="AV162" s="92"/>
      <c r="AW162" s="92"/>
      <c r="AX162" s="92"/>
      <c r="AY162" s="92"/>
      <c r="AZ162" s="92"/>
      <c r="BA162" s="92"/>
      <c r="BB162" s="92"/>
      <c r="BC162" s="92"/>
      <c r="BD162" s="92"/>
      <c r="BE162" s="92"/>
      <c r="BF162" s="92"/>
      <c r="BG162" s="92"/>
      <c r="BH162" s="92"/>
    </row>
    <row r="163" spans="1:60">
      <c r="A163" s="92"/>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c r="AB163" s="92"/>
      <c r="AC163" s="92"/>
      <c r="AD163" s="92"/>
      <c r="AE163" s="92"/>
      <c r="AF163" s="92"/>
      <c r="AG163" s="92"/>
      <c r="AH163" s="92"/>
      <c r="AI163" s="92"/>
      <c r="AJ163" s="92"/>
      <c r="AK163" s="92"/>
      <c r="AL163" s="92"/>
      <c r="AM163" s="92"/>
      <c r="AN163" s="92"/>
      <c r="AO163" s="92"/>
      <c r="AP163" s="92"/>
      <c r="AQ163" s="92"/>
      <c r="AR163" s="92"/>
      <c r="AS163" s="92"/>
      <c r="AT163" s="92"/>
      <c r="AU163" s="92"/>
      <c r="AV163" s="92"/>
      <c r="AW163" s="92"/>
      <c r="AX163" s="92"/>
      <c r="AY163" s="92"/>
      <c r="AZ163" s="92"/>
      <c r="BA163" s="92"/>
      <c r="BB163" s="92"/>
      <c r="BC163" s="92"/>
      <c r="BD163" s="92"/>
      <c r="BE163" s="92"/>
      <c r="BF163" s="92"/>
      <c r="BG163" s="92"/>
      <c r="BH163" s="92"/>
    </row>
    <row r="164" spans="1:60">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c r="AG164" s="92"/>
      <c r="AH164" s="92"/>
      <c r="AI164" s="92"/>
      <c r="AJ164" s="92"/>
      <c r="AK164" s="92"/>
      <c r="AL164" s="92"/>
      <c r="AM164" s="92"/>
      <c r="AN164" s="92"/>
      <c r="AO164" s="92"/>
      <c r="AP164" s="92"/>
      <c r="AQ164" s="92"/>
      <c r="AR164" s="92"/>
      <c r="AS164" s="92"/>
      <c r="AT164" s="92"/>
      <c r="AU164" s="92"/>
      <c r="AV164" s="92"/>
      <c r="AW164" s="92"/>
      <c r="AX164" s="92"/>
      <c r="AY164" s="92"/>
      <c r="AZ164" s="92"/>
      <c r="BA164" s="92"/>
      <c r="BB164" s="92"/>
      <c r="BC164" s="92"/>
      <c r="BD164" s="92"/>
      <c r="BE164" s="92"/>
      <c r="BF164" s="92"/>
      <c r="BG164" s="92"/>
      <c r="BH164" s="92"/>
    </row>
    <row r="165" spans="1:60">
      <c r="A165" s="9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c r="AB165" s="92"/>
      <c r="AC165" s="92"/>
      <c r="AD165" s="92"/>
      <c r="AE165" s="92"/>
      <c r="AF165" s="92"/>
      <c r="AG165" s="92"/>
      <c r="AH165" s="92"/>
      <c r="AI165" s="92"/>
      <c r="AJ165" s="92"/>
      <c r="AK165" s="92"/>
      <c r="AL165" s="92"/>
      <c r="AM165" s="92"/>
      <c r="AN165" s="92"/>
      <c r="AO165" s="92"/>
      <c r="AP165" s="92"/>
      <c r="AQ165" s="92"/>
      <c r="AR165" s="92"/>
      <c r="AS165" s="92"/>
      <c r="AT165" s="92"/>
      <c r="AU165" s="92"/>
      <c r="AV165" s="92"/>
      <c r="AW165" s="92"/>
      <c r="AX165" s="92"/>
      <c r="AY165" s="92"/>
      <c r="AZ165" s="92"/>
      <c r="BA165" s="92"/>
      <c r="BB165" s="92"/>
      <c r="BC165" s="92"/>
      <c r="BD165" s="92"/>
      <c r="BE165" s="92"/>
      <c r="BF165" s="92"/>
      <c r="BG165" s="92"/>
      <c r="BH165" s="92"/>
    </row>
    <row r="166" spans="1:60">
      <c r="A166" s="9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c r="AB166" s="92"/>
      <c r="AC166" s="92"/>
      <c r="AD166" s="92"/>
      <c r="AE166" s="92"/>
      <c r="AF166" s="92"/>
      <c r="AG166" s="92"/>
      <c r="AH166" s="92"/>
      <c r="AI166" s="92"/>
      <c r="AJ166" s="92"/>
      <c r="AK166" s="92"/>
      <c r="AL166" s="92"/>
      <c r="AM166" s="92"/>
      <c r="AN166" s="92"/>
      <c r="AO166" s="92"/>
      <c r="AP166" s="92"/>
      <c r="AQ166" s="92"/>
      <c r="AR166" s="92"/>
      <c r="AS166" s="92"/>
      <c r="AT166" s="92"/>
      <c r="AU166" s="92"/>
      <c r="AV166" s="92"/>
      <c r="AW166" s="92"/>
      <c r="AX166" s="92"/>
      <c r="AY166" s="92"/>
      <c r="AZ166" s="92"/>
      <c r="BA166" s="92"/>
      <c r="BB166" s="92"/>
      <c r="BC166" s="92"/>
      <c r="BD166" s="92"/>
      <c r="BE166" s="92"/>
      <c r="BF166" s="92"/>
      <c r="BG166" s="92"/>
      <c r="BH166" s="92"/>
    </row>
    <row r="167" spans="1:60">
      <c r="A167" s="9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c r="AB167" s="92"/>
      <c r="AC167" s="92"/>
      <c r="AD167" s="92"/>
      <c r="AE167" s="92"/>
      <c r="AF167" s="92"/>
      <c r="AG167" s="92"/>
      <c r="AH167" s="92"/>
      <c r="AI167" s="92"/>
      <c r="AJ167" s="92"/>
      <c r="AK167" s="92"/>
      <c r="AL167" s="92"/>
      <c r="AM167" s="92"/>
      <c r="AN167" s="92"/>
      <c r="AO167" s="92"/>
      <c r="AP167" s="92"/>
      <c r="AQ167" s="92"/>
      <c r="AR167" s="92"/>
      <c r="AS167" s="92"/>
      <c r="AT167" s="92"/>
      <c r="AU167" s="92"/>
      <c r="AV167" s="92"/>
      <c r="AW167" s="92"/>
      <c r="AX167" s="92"/>
      <c r="AY167" s="92"/>
      <c r="AZ167" s="92"/>
      <c r="BA167" s="92"/>
      <c r="BB167" s="92"/>
      <c r="BC167" s="92"/>
      <c r="BD167" s="92"/>
      <c r="BE167" s="92"/>
      <c r="BF167" s="92"/>
      <c r="BG167" s="92"/>
      <c r="BH167" s="92"/>
    </row>
    <row r="168" spans="1:60">
      <c r="A168" s="9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c r="AB168" s="92"/>
      <c r="AC168" s="92"/>
      <c r="AD168" s="92"/>
      <c r="AE168" s="92"/>
      <c r="AF168" s="92"/>
      <c r="AG168" s="92"/>
      <c r="AH168" s="92"/>
      <c r="AI168" s="92"/>
      <c r="AJ168" s="92"/>
      <c r="AK168" s="92"/>
      <c r="AL168" s="92"/>
      <c r="AM168" s="92"/>
      <c r="AN168" s="92"/>
      <c r="AO168" s="92"/>
      <c r="AP168" s="92"/>
      <c r="AQ168" s="92"/>
      <c r="AR168" s="92"/>
      <c r="AS168" s="92"/>
      <c r="AT168" s="92"/>
      <c r="AU168" s="92"/>
      <c r="AV168" s="92"/>
      <c r="AW168" s="92"/>
      <c r="AX168" s="92"/>
      <c r="AY168" s="92"/>
      <c r="AZ168" s="92"/>
      <c r="BA168" s="92"/>
      <c r="BB168" s="92"/>
      <c r="BC168" s="92"/>
      <c r="BD168" s="92"/>
      <c r="BE168" s="92"/>
      <c r="BF168" s="92"/>
      <c r="BG168" s="92"/>
      <c r="BH168" s="92"/>
    </row>
    <row r="169" spans="1:60">
      <c r="A169" s="9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92"/>
      <c r="AN169" s="92"/>
      <c r="AO169" s="92"/>
      <c r="AP169" s="92"/>
      <c r="AQ169" s="92"/>
      <c r="AR169" s="92"/>
      <c r="AS169" s="92"/>
      <c r="AT169" s="92"/>
      <c r="AU169" s="92"/>
      <c r="AV169" s="92"/>
      <c r="AW169" s="92"/>
      <c r="AX169" s="92"/>
      <c r="AY169" s="92"/>
      <c r="AZ169" s="92"/>
      <c r="BA169" s="92"/>
      <c r="BB169" s="92"/>
      <c r="BC169" s="92"/>
      <c r="BD169" s="92"/>
      <c r="BE169" s="92"/>
      <c r="BF169" s="92"/>
      <c r="BG169" s="92"/>
      <c r="BH169" s="92"/>
    </row>
    <row r="170" spans="1:60">
      <c r="A170" s="9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c r="AG170" s="92"/>
      <c r="AH170" s="92"/>
      <c r="AI170" s="92"/>
      <c r="AJ170" s="92"/>
      <c r="AK170" s="92"/>
      <c r="AL170" s="92"/>
      <c r="AM170" s="92"/>
      <c r="AN170" s="92"/>
      <c r="AO170" s="92"/>
      <c r="AP170" s="92"/>
      <c r="AQ170" s="92"/>
      <c r="AR170" s="92"/>
      <c r="AS170" s="92"/>
      <c r="AT170" s="92"/>
      <c r="AU170" s="92"/>
      <c r="AV170" s="92"/>
      <c r="AW170" s="92"/>
      <c r="AX170" s="92"/>
      <c r="AY170" s="92"/>
      <c r="AZ170" s="92"/>
      <c r="BA170" s="92"/>
      <c r="BB170" s="92"/>
      <c r="BC170" s="92"/>
      <c r="BD170" s="92"/>
      <c r="BE170" s="92"/>
      <c r="BF170" s="92"/>
      <c r="BG170" s="92"/>
      <c r="BH170" s="92"/>
    </row>
    <row r="171" spans="1:60">
      <c r="A171" s="9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c r="AB171" s="92"/>
      <c r="AC171" s="92"/>
      <c r="AD171" s="92"/>
      <c r="AE171" s="92"/>
      <c r="AF171" s="92"/>
      <c r="AG171" s="92"/>
      <c r="AH171" s="92"/>
      <c r="AI171" s="92"/>
      <c r="AJ171" s="92"/>
      <c r="AK171" s="92"/>
      <c r="AL171" s="92"/>
      <c r="AM171" s="92"/>
      <c r="AN171" s="92"/>
      <c r="AO171" s="92"/>
      <c r="AP171" s="92"/>
      <c r="AQ171" s="92"/>
      <c r="AR171" s="92"/>
      <c r="AS171" s="92"/>
      <c r="AT171" s="92"/>
      <c r="AU171" s="92"/>
      <c r="AV171" s="92"/>
      <c r="AW171" s="92"/>
      <c r="AX171" s="92"/>
      <c r="AY171" s="92"/>
      <c r="AZ171" s="92"/>
      <c r="BA171" s="92"/>
      <c r="BB171" s="92"/>
      <c r="BC171" s="92"/>
      <c r="BD171" s="92"/>
      <c r="BE171" s="92"/>
      <c r="BF171" s="92"/>
      <c r="BG171" s="92"/>
      <c r="BH171" s="92"/>
    </row>
    <row r="172" spans="1:60">
      <c r="A172" s="9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c r="AD172" s="92"/>
      <c r="AE172" s="92"/>
      <c r="AF172" s="92"/>
      <c r="AG172" s="92"/>
      <c r="AH172" s="92"/>
      <c r="AI172" s="92"/>
      <c r="AJ172" s="92"/>
      <c r="AK172" s="92"/>
      <c r="AL172" s="92"/>
      <c r="AM172" s="92"/>
      <c r="AN172" s="92"/>
      <c r="AO172" s="92"/>
      <c r="AP172" s="92"/>
      <c r="AQ172" s="92"/>
      <c r="AR172" s="92"/>
      <c r="AS172" s="92"/>
      <c r="AT172" s="92"/>
      <c r="AU172" s="92"/>
      <c r="AV172" s="92"/>
      <c r="AW172" s="92"/>
      <c r="AX172" s="92"/>
      <c r="AY172" s="92"/>
      <c r="AZ172" s="92"/>
      <c r="BA172" s="92"/>
      <c r="BB172" s="92"/>
      <c r="BC172" s="92"/>
      <c r="BD172" s="92"/>
      <c r="BE172" s="92"/>
      <c r="BF172" s="92"/>
      <c r="BG172" s="92"/>
      <c r="BH172" s="92"/>
    </row>
    <row r="173" spans="1:60">
      <c r="A173" s="9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c r="AG173" s="92"/>
      <c r="AH173" s="92"/>
      <c r="AI173" s="92"/>
      <c r="AJ173" s="92"/>
      <c r="AK173" s="92"/>
      <c r="AL173" s="92"/>
      <c r="AM173" s="92"/>
      <c r="AN173" s="92"/>
      <c r="AO173" s="92"/>
      <c r="AP173" s="92"/>
      <c r="AQ173" s="92"/>
      <c r="AR173" s="92"/>
      <c r="AS173" s="92"/>
      <c r="AT173" s="92"/>
      <c r="AU173" s="92"/>
      <c r="AV173" s="92"/>
      <c r="AW173" s="92"/>
      <c r="AX173" s="92"/>
      <c r="AY173" s="92"/>
      <c r="AZ173" s="92"/>
      <c r="BA173" s="92"/>
      <c r="BB173" s="92"/>
      <c r="BC173" s="92"/>
      <c r="BD173" s="92"/>
      <c r="BE173" s="92"/>
      <c r="BF173" s="92"/>
      <c r="BG173" s="92"/>
      <c r="BH173" s="92"/>
    </row>
    <row r="174" spans="1:60">
      <c r="A174" s="9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c r="AG174" s="92"/>
      <c r="AH174" s="92"/>
      <c r="AI174" s="92"/>
      <c r="AJ174" s="92"/>
      <c r="AK174" s="92"/>
      <c r="AL174" s="92"/>
      <c r="AM174" s="92"/>
      <c r="AN174" s="92"/>
      <c r="AO174" s="92"/>
      <c r="AP174" s="92"/>
      <c r="AQ174" s="92"/>
      <c r="AR174" s="92"/>
      <c r="AS174" s="92"/>
      <c r="AT174" s="92"/>
      <c r="AU174" s="92"/>
      <c r="AV174" s="92"/>
      <c r="AW174" s="92"/>
      <c r="AX174" s="92"/>
      <c r="AY174" s="92"/>
      <c r="AZ174" s="92"/>
      <c r="BA174" s="92"/>
      <c r="BB174" s="92"/>
      <c r="BC174" s="92"/>
      <c r="BD174" s="92"/>
      <c r="BE174" s="92"/>
      <c r="BF174" s="92"/>
      <c r="BG174" s="92"/>
      <c r="BH174" s="92"/>
    </row>
    <row r="175" spans="1:60">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c r="AB175" s="92"/>
      <c r="AC175" s="92"/>
      <c r="AD175" s="92"/>
      <c r="AE175" s="92"/>
      <c r="AF175" s="92"/>
      <c r="AG175" s="92"/>
      <c r="AH175" s="92"/>
      <c r="AI175" s="92"/>
      <c r="AJ175" s="92"/>
      <c r="AK175" s="92"/>
      <c r="AL175" s="92"/>
      <c r="AM175" s="92"/>
      <c r="AN175" s="92"/>
      <c r="AO175" s="92"/>
      <c r="AP175" s="92"/>
      <c r="AQ175" s="92"/>
      <c r="AR175" s="92"/>
      <c r="AS175" s="92"/>
      <c r="AT175" s="92"/>
      <c r="AU175" s="92"/>
      <c r="AV175" s="92"/>
      <c r="AW175" s="92"/>
      <c r="AX175" s="92"/>
      <c r="AY175" s="92"/>
      <c r="AZ175" s="92"/>
      <c r="BA175" s="92"/>
      <c r="BB175" s="92"/>
      <c r="BC175" s="92"/>
      <c r="BD175" s="92"/>
      <c r="BE175" s="92"/>
      <c r="BF175" s="92"/>
      <c r="BG175" s="92"/>
      <c r="BH175" s="92"/>
    </row>
    <row r="176" spans="1:60">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c r="AE176" s="92"/>
      <c r="AF176" s="92"/>
      <c r="AG176" s="92"/>
      <c r="AH176" s="92"/>
      <c r="AI176" s="92"/>
      <c r="AJ176" s="92"/>
      <c r="AK176" s="92"/>
      <c r="AL176" s="92"/>
      <c r="AM176" s="92"/>
      <c r="AN176" s="92"/>
      <c r="AO176" s="92"/>
      <c r="AP176" s="92"/>
      <c r="AQ176" s="92"/>
      <c r="AR176" s="92"/>
      <c r="AS176" s="92"/>
      <c r="AT176" s="92"/>
      <c r="AU176" s="92"/>
      <c r="AV176" s="92"/>
      <c r="AW176" s="92"/>
      <c r="AX176" s="92"/>
      <c r="AY176" s="92"/>
      <c r="AZ176" s="92"/>
      <c r="BA176" s="92"/>
      <c r="BB176" s="92"/>
      <c r="BC176" s="92"/>
      <c r="BD176" s="92"/>
      <c r="BE176" s="92"/>
      <c r="BF176" s="92"/>
      <c r="BG176" s="92"/>
      <c r="BH176" s="92"/>
    </row>
    <row r="177" spans="1:60">
      <c r="A177" s="9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c r="AG177" s="92"/>
      <c r="AH177" s="92"/>
      <c r="AI177" s="92"/>
      <c r="AJ177" s="92"/>
      <c r="AK177" s="92"/>
      <c r="AL177" s="92"/>
      <c r="AM177" s="92"/>
      <c r="AN177" s="92"/>
      <c r="AO177" s="92"/>
      <c r="AP177" s="92"/>
      <c r="AQ177" s="92"/>
      <c r="AR177" s="92"/>
      <c r="AS177" s="92"/>
      <c r="AT177" s="92"/>
      <c r="AU177" s="92"/>
      <c r="AV177" s="92"/>
      <c r="AW177" s="92"/>
      <c r="AX177" s="92"/>
      <c r="AY177" s="92"/>
      <c r="AZ177" s="92"/>
      <c r="BA177" s="92"/>
      <c r="BB177" s="92"/>
      <c r="BC177" s="92"/>
      <c r="BD177" s="92"/>
      <c r="BE177" s="92"/>
      <c r="BF177" s="92"/>
      <c r="BG177" s="92"/>
      <c r="BH177" s="92"/>
    </row>
    <row r="178" spans="1:60">
      <c r="A178" s="9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c r="AE178" s="92"/>
      <c r="AF178" s="92"/>
      <c r="AG178" s="92"/>
      <c r="AH178" s="92"/>
      <c r="AI178" s="92"/>
      <c r="AJ178" s="92"/>
      <c r="AK178" s="92"/>
      <c r="AL178" s="92"/>
      <c r="AM178" s="92"/>
      <c r="AN178" s="92"/>
      <c r="AO178" s="92"/>
      <c r="AP178" s="92"/>
      <c r="AQ178" s="92"/>
      <c r="AR178" s="92"/>
      <c r="AS178" s="92"/>
      <c r="AT178" s="92"/>
      <c r="AU178" s="92"/>
      <c r="AV178" s="92"/>
      <c r="AW178" s="92"/>
      <c r="AX178" s="92"/>
      <c r="AY178" s="92"/>
      <c r="AZ178" s="92"/>
      <c r="BA178" s="92"/>
      <c r="BB178" s="92"/>
      <c r="BC178" s="92"/>
      <c r="BD178" s="92"/>
      <c r="BE178" s="92"/>
      <c r="BF178" s="92"/>
      <c r="BG178" s="92"/>
      <c r="BH178" s="92"/>
    </row>
    <row r="179" spans="1:60">
      <c r="A179" s="9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E179" s="92"/>
      <c r="AF179" s="92"/>
      <c r="AG179" s="92"/>
      <c r="AH179" s="92"/>
      <c r="AI179" s="92"/>
      <c r="AJ179" s="92"/>
      <c r="AK179" s="92"/>
      <c r="AL179" s="92"/>
      <c r="AM179" s="92"/>
      <c r="AN179" s="92"/>
      <c r="AO179" s="92"/>
      <c r="AP179" s="92"/>
      <c r="AQ179" s="92"/>
      <c r="AR179" s="92"/>
      <c r="AS179" s="92"/>
      <c r="AT179" s="92"/>
      <c r="AU179" s="92"/>
      <c r="AV179" s="92"/>
      <c r="AW179" s="92"/>
      <c r="AX179" s="92"/>
      <c r="AY179" s="92"/>
      <c r="AZ179" s="92"/>
      <c r="BA179" s="92"/>
      <c r="BB179" s="92"/>
      <c r="BC179" s="92"/>
      <c r="BD179" s="92"/>
      <c r="BE179" s="92"/>
      <c r="BF179" s="92"/>
      <c r="BG179" s="92"/>
      <c r="BH179" s="92"/>
    </row>
    <row r="180" spans="1:60">
      <c r="A180" s="9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c r="AD180" s="92"/>
      <c r="AE180" s="92"/>
      <c r="AF180" s="92"/>
      <c r="AG180" s="92"/>
      <c r="AH180" s="92"/>
      <c r="AI180" s="92"/>
      <c r="AJ180" s="92"/>
      <c r="AK180" s="92"/>
      <c r="AL180" s="92"/>
      <c r="AM180" s="92"/>
      <c r="AN180" s="92"/>
      <c r="AO180" s="92"/>
      <c r="AP180" s="92"/>
      <c r="AQ180" s="92"/>
      <c r="AR180" s="92"/>
      <c r="AS180" s="92"/>
      <c r="AT180" s="92"/>
      <c r="AU180" s="92"/>
      <c r="AV180" s="92"/>
      <c r="AW180" s="92"/>
      <c r="AX180" s="92"/>
      <c r="AY180" s="92"/>
      <c r="AZ180" s="92"/>
      <c r="BA180" s="92"/>
      <c r="BB180" s="92"/>
      <c r="BC180" s="92"/>
      <c r="BD180" s="92"/>
      <c r="BE180" s="92"/>
      <c r="BF180" s="92"/>
      <c r="BG180" s="92"/>
      <c r="BH180" s="92"/>
    </row>
    <row r="181" spans="1:60">
      <c r="A181" s="9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c r="AB181" s="92"/>
      <c r="AC181" s="92"/>
      <c r="AD181" s="92"/>
      <c r="AE181" s="92"/>
      <c r="AF181" s="92"/>
      <c r="AG181" s="92"/>
      <c r="AH181" s="92"/>
      <c r="AI181" s="92"/>
      <c r="AJ181" s="92"/>
      <c r="AK181" s="92"/>
      <c r="AL181" s="92"/>
      <c r="AM181" s="92"/>
      <c r="AN181" s="92"/>
      <c r="AO181" s="92"/>
      <c r="AP181" s="92"/>
      <c r="AQ181" s="92"/>
      <c r="AR181" s="92"/>
      <c r="AS181" s="92"/>
      <c r="AT181" s="92"/>
      <c r="AU181" s="92"/>
      <c r="AV181" s="92"/>
      <c r="AW181" s="92"/>
      <c r="AX181" s="92"/>
      <c r="AY181" s="92"/>
      <c r="AZ181" s="92"/>
      <c r="BA181" s="92"/>
      <c r="BB181" s="92"/>
      <c r="BC181" s="92"/>
      <c r="BD181" s="92"/>
      <c r="BE181" s="92"/>
      <c r="BF181" s="92"/>
      <c r="BG181" s="92"/>
      <c r="BH181" s="92"/>
    </row>
    <row r="182" spans="1:60">
      <c r="A182" s="9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c r="AD182" s="92"/>
      <c r="AE182" s="92"/>
      <c r="AF182" s="92"/>
      <c r="AG182" s="92"/>
      <c r="AH182" s="92"/>
      <c r="AI182" s="92"/>
      <c r="AJ182" s="92"/>
      <c r="AK182" s="92"/>
      <c r="AL182" s="92"/>
      <c r="AM182" s="92"/>
      <c r="AN182" s="92"/>
      <c r="AO182" s="92"/>
      <c r="AP182" s="92"/>
      <c r="AQ182" s="92"/>
      <c r="AR182" s="92"/>
      <c r="AS182" s="92"/>
      <c r="AT182" s="92"/>
      <c r="AU182" s="92"/>
      <c r="AV182" s="92"/>
      <c r="AW182" s="92"/>
      <c r="AX182" s="92"/>
      <c r="AY182" s="92"/>
      <c r="AZ182" s="92"/>
      <c r="BA182" s="92"/>
      <c r="BB182" s="92"/>
      <c r="BC182" s="92"/>
      <c r="BD182" s="92"/>
      <c r="BE182" s="92"/>
      <c r="BF182" s="92"/>
      <c r="BG182" s="92"/>
      <c r="BH182" s="92"/>
    </row>
    <row r="183" spans="1:60">
      <c r="A183" s="9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2"/>
      <c r="AD183" s="92"/>
      <c r="AE183" s="92"/>
      <c r="AF183" s="92"/>
      <c r="AG183" s="92"/>
      <c r="AH183" s="92"/>
      <c r="AI183" s="92"/>
      <c r="AJ183" s="92"/>
      <c r="AK183" s="92"/>
      <c r="AL183" s="92"/>
      <c r="AM183" s="92"/>
      <c r="AN183" s="92"/>
      <c r="AO183" s="92"/>
      <c r="AP183" s="92"/>
      <c r="AQ183" s="92"/>
      <c r="AR183" s="92"/>
      <c r="AS183" s="92"/>
      <c r="AT183" s="92"/>
      <c r="AU183" s="92"/>
      <c r="AV183" s="92"/>
      <c r="AW183" s="92"/>
      <c r="AX183" s="92"/>
      <c r="AY183" s="92"/>
      <c r="AZ183" s="92"/>
      <c r="BA183" s="92"/>
      <c r="BB183" s="92"/>
      <c r="BC183" s="92"/>
      <c r="BD183" s="92"/>
      <c r="BE183" s="92"/>
      <c r="BF183" s="92"/>
      <c r="BG183" s="92"/>
      <c r="BH183" s="92"/>
    </row>
    <row r="184" spans="1:60">
      <c r="A184" s="9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c r="AB184" s="92"/>
      <c r="AC184" s="92"/>
      <c r="AD184" s="92"/>
      <c r="AE184" s="92"/>
      <c r="AF184" s="92"/>
      <c r="AG184" s="92"/>
      <c r="AH184" s="92"/>
      <c r="AI184" s="92"/>
      <c r="AJ184" s="92"/>
      <c r="AK184" s="92"/>
      <c r="AL184" s="92"/>
      <c r="AM184" s="92"/>
      <c r="AN184" s="92"/>
      <c r="AO184" s="92"/>
      <c r="AP184" s="92"/>
      <c r="AQ184" s="92"/>
      <c r="AR184" s="92"/>
      <c r="AS184" s="92"/>
      <c r="AT184" s="92"/>
      <c r="AU184" s="92"/>
      <c r="AV184" s="92"/>
      <c r="AW184" s="92"/>
      <c r="AX184" s="92"/>
      <c r="AY184" s="92"/>
      <c r="AZ184" s="92"/>
      <c r="BA184" s="92"/>
      <c r="BB184" s="92"/>
      <c r="BC184" s="92"/>
      <c r="BD184" s="92"/>
      <c r="BE184" s="92"/>
      <c r="BF184" s="92"/>
      <c r="BG184" s="92"/>
      <c r="BH184" s="92"/>
    </row>
    <row r="185" spans="1:60">
      <c r="A185" s="9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c r="AD185" s="92"/>
      <c r="AE185" s="92"/>
      <c r="AF185" s="92"/>
      <c r="AG185" s="92"/>
      <c r="AH185" s="92"/>
      <c r="AI185" s="92"/>
      <c r="AJ185" s="92"/>
      <c r="AK185" s="92"/>
      <c r="AL185" s="92"/>
      <c r="AM185" s="92"/>
      <c r="AN185" s="92"/>
      <c r="AO185" s="92"/>
      <c r="AP185" s="92"/>
      <c r="AQ185" s="92"/>
      <c r="AR185" s="92"/>
      <c r="AS185" s="92"/>
      <c r="AT185" s="92"/>
      <c r="AU185" s="92"/>
      <c r="AV185" s="92"/>
      <c r="AW185" s="92"/>
      <c r="AX185" s="92"/>
      <c r="AY185" s="92"/>
      <c r="AZ185" s="92"/>
      <c r="BA185" s="92"/>
      <c r="BB185" s="92"/>
      <c r="BC185" s="92"/>
      <c r="BD185" s="92"/>
      <c r="BE185" s="92"/>
      <c r="BF185" s="92"/>
      <c r="BG185" s="92"/>
      <c r="BH185" s="92"/>
    </row>
    <row r="186" spans="1:60">
      <c r="A186" s="9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c r="AC186" s="92"/>
      <c r="AD186" s="92"/>
      <c r="AE186" s="92"/>
      <c r="AF186" s="92"/>
      <c r="AG186" s="92"/>
      <c r="AH186" s="92"/>
      <c r="AI186" s="92"/>
      <c r="AJ186" s="92"/>
      <c r="AK186" s="92"/>
      <c r="AL186" s="92"/>
      <c r="AM186" s="92"/>
      <c r="AN186" s="92"/>
      <c r="AO186" s="92"/>
      <c r="AP186" s="92"/>
      <c r="AQ186" s="92"/>
      <c r="AR186" s="92"/>
      <c r="AS186" s="92"/>
      <c r="AT186" s="92"/>
      <c r="AU186" s="92"/>
      <c r="AV186" s="92"/>
      <c r="AW186" s="92"/>
      <c r="AX186" s="92"/>
      <c r="AY186" s="92"/>
      <c r="AZ186" s="92"/>
      <c r="BA186" s="92"/>
      <c r="BB186" s="92"/>
      <c r="BC186" s="92"/>
      <c r="BD186" s="92"/>
      <c r="BE186" s="92"/>
      <c r="BF186" s="92"/>
      <c r="BG186" s="92"/>
      <c r="BH186" s="92"/>
    </row>
    <row r="187" spans="1:60">
      <c r="A187" s="9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c r="AB187" s="92"/>
      <c r="AC187" s="92"/>
      <c r="AD187" s="92"/>
      <c r="AE187" s="92"/>
      <c r="AF187" s="92"/>
      <c r="AG187" s="92"/>
      <c r="AH187" s="92"/>
      <c r="AI187" s="92"/>
      <c r="AJ187" s="92"/>
      <c r="AK187" s="92"/>
      <c r="AL187" s="92"/>
      <c r="AM187" s="92"/>
      <c r="AN187" s="92"/>
      <c r="AO187" s="92"/>
      <c r="AP187" s="92"/>
      <c r="AQ187" s="92"/>
      <c r="AR187" s="92"/>
      <c r="AS187" s="92"/>
      <c r="AT187" s="92"/>
      <c r="AU187" s="92"/>
      <c r="AV187" s="92"/>
      <c r="AW187" s="92"/>
      <c r="AX187" s="92"/>
      <c r="AY187" s="92"/>
      <c r="AZ187" s="92"/>
      <c r="BA187" s="92"/>
      <c r="BB187" s="92"/>
      <c r="BC187" s="92"/>
      <c r="BD187" s="92"/>
      <c r="BE187" s="92"/>
      <c r="BF187" s="92"/>
      <c r="BG187" s="92"/>
      <c r="BH187" s="92"/>
    </row>
    <row r="188" spans="1:60">
      <c r="A188" s="9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92"/>
      <c r="AG188" s="92"/>
      <c r="AH188" s="92"/>
      <c r="AI188" s="92"/>
      <c r="AJ188" s="92"/>
      <c r="AK188" s="92"/>
      <c r="AL188" s="92"/>
      <c r="AM188" s="92"/>
      <c r="AN188" s="92"/>
      <c r="AO188" s="92"/>
      <c r="AP188" s="92"/>
      <c r="AQ188" s="92"/>
      <c r="AR188" s="92"/>
      <c r="AS188" s="92"/>
      <c r="AT188" s="92"/>
      <c r="AU188" s="92"/>
      <c r="AV188" s="92"/>
      <c r="AW188" s="92"/>
      <c r="AX188" s="92"/>
      <c r="AY188" s="92"/>
      <c r="AZ188" s="92"/>
      <c r="BA188" s="92"/>
      <c r="BB188" s="92"/>
      <c r="BC188" s="92"/>
      <c r="BD188" s="92"/>
      <c r="BE188" s="92"/>
      <c r="BF188" s="92"/>
      <c r="BG188" s="92"/>
      <c r="BH188" s="92"/>
    </row>
    <row r="189" spans="1:60">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92"/>
      <c r="AG189" s="92"/>
      <c r="AH189" s="92"/>
      <c r="AI189" s="92"/>
      <c r="AJ189" s="92"/>
      <c r="AK189" s="92"/>
      <c r="AL189" s="92"/>
      <c r="AM189" s="92"/>
      <c r="AN189" s="92"/>
      <c r="AO189" s="92"/>
      <c r="AP189" s="92"/>
      <c r="AQ189" s="92"/>
      <c r="AR189" s="92"/>
      <c r="AS189" s="92"/>
      <c r="AT189" s="92"/>
      <c r="AU189" s="92"/>
      <c r="AV189" s="92"/>
      <c r="AW189" s="92"/>
      <c r="AX189" s="92"/>
      <c r="AY189" s="92"/>
      <c r="AZ189" s="92"/>
      <c r="BA189" s="92"/>
      <c r="BB189" s="92"/>
      <c r="BC189" s="92"/>
      <c r="BD189" s="92"/>
      <c r="BE189" s="92"/>
      <c r="BF189" s="92"/>
      <c r="BG189" s="92"/>
      <c r="BH189" s="92"/>
    </row>
    <row r="190" spans="1:60">
      <c r="A190" s="92"/>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c r="AB190" s="92"/>
      <c r="AC190" s="92"/>
      <c r="AD190" s="92"/>
      <c r="AE190" s="92"/>
      <c r="AF190" s="92"/>
      <c r="AG190" s="92"/>
      <c r="AH190" s="92"/>
      <c r="AI190" s="92"/>
      <c r="AJ190" s="92"/>
      <c r="AK190" s="92"/>
      <c r="AL190" s="92"/>
      <c r="AM190" s="92"/>
      <c r="AN190" s="92"/>
      <c r="AO190" s="92"/>
      <c r="AP190" s="92"/>
      <c r="AQ190" s="92"/>
      <c r="AR190" s="92"/>
      <c r="AS190" s="92"/>
      <c r="AT190" s="92"/>
      <c r="AU190" s="92"/>
      <c r="AV190" s="92"/>
      <c r="AW190" s="92"/>
      <c r="AX190" s="92"/>
      <c r="AY190" s="92"/>
      <c r="AZ190" s="92"/>
      <c r="BA190" s="92"/>
      <c r="BB190" s="92"/>
      <c r="BC190" s="92"/>
      <c r="BD190" s="92"/>
      <c r="BE190" s="92"/>
      <c r="BF190" s="92"/>
      <c r="BG190" s="92"/>
      <c r="BH190" s="92"/>
    </row>
    <row r="191" spans="1:60">
      <c r="A191" s="92"/>
      <c r="J191" s="92"/>
      <c r="K191" s="92"/>
      <c r="L191" s="92"/>
      <c r="M191" s="92"/>
      <c r="N191" s="92"/>
      <c r="O191" s="92"/>
      <c r="P191" s="92"/>
      <c r="Q191" s="92"/>
      <c r="R191" s="92"/>
      <c r="S191" s="92"/>
      <c r="T191" s="92"/>
      <c r="U191" s="92"/>
      <c r="V191" s="92"/>
      <c r="W191" s="92"/>
      <c r="X191" s="92"/>
      <c r="Y191" s="92"/>
      <c r="Z191" s="92"/>
      <c r="AA191" s="92"/>
      <c r="AB191" s="92"/>
      <c r="AC191" s="92"/>
      <c r="AD191" s="92"/>
      <c r="AE191" s="92"/>
      <c r="AF191" s="92"/>
      <c r="AG191" s="92"/>
      <c r="AH191" s="92"/>
      <c r="AI191" s="92"/>
      <c r="AJ191" s="92"/>
      <c r="AK191" s="92"/>
      <c r="AL191" s="92"/>
      <c r="AM191" s="92"/>
      <c r="AN191" s="92"/>
      <c r="AO191" s="92"/>
      <c r="AP191" s="92"/>
      <c r="AQ191" s="92"/>
      <c r="AR191" s="92"/>
      <c r="AS191" s="92"/>
      <c r="AT191" s="92"/>
      <c r="AU191" s="92"/>
      <c r="AV191" s="92"/>
      <c r="AW191" s="92"/>
      <c r="AX191" s="92"/>
      <c r="AY191" s="92"/>
      <c r="AZ191" s="92"/>
      <c r="BA191" s="92"/>
      <c r="BB191" s="92"/>
      <c r="BC191" s="92"/>
      <c r="BD191" s="92"/>
      <c r="BE191" s="92"/>
      <c r="BF191" s="92"/>
      <c r="BG191" s="92"/>
      <c r="BH191" s="92"/>
    </row>
    <row r="192" spans="1:60">
      <c r="A192" s="92"/>
      <c r="J192" s="92"/>
      <c r="K192" s="92"/>
      <c r="L192" s="92"/>
      <c r="M192" s="92"/>
      <c r="N192" s="92"/>
      <c r="O192" s="92"/>
      <c r="P192" s="92"/>
      <c r="Q192" s="92"/>
      <c r="R192" s="92"/>
      <c r="S192" s="92"/>
      <c r="T192" s="92"/>
      <c r="U192" s="92"/>
      <c r="V192" s="92"/>
      <c r="W192" s="92"/>
      <c r="X192" s="92"/>
      <c r="Y192" s="92"/>
      <c r="Z192" s="92"/>
      <c r="AA192" s="92"/>
      <c r="AB192" s="92"/>
      <c r="AC192" s="92"/>
      <c r="AD192" s="92"/>
      <c r="AE192" s="92"/>
      <c r="AF192" s="92"/>
      <c r="AG192" s="92"/>
      <c r="AH192" s="92"/>
      <c r="AI192" s="92"/>
      <c r="AJ192" s="92"/>
      <c r="AK192" s="92"/>
      <c r="AL192" s="92"/>
      <c r="AM192" s="92"/>
      <c r="AN192" s="92"/>
      <c r="AO192" s="92"/>
      <c r="AP192" s="92"/>
      <c r="AQ192" s="92"/>
      <c r="AR192" s="92"/>
      <c r="AS192" s="92"/>
      <c r="AT192" s="92"/>
      <c r="AU192" s="92"/>
      <c r="AV192" s="92"/>
      <c r="AW192" s="92"/>
      <c r="AX192" s="92"/>
      <c r="AY192" s="92"/>
      <c r="AZ192" s="92"/>
      <c r="BA192" s="92"/>
      <c r="BB192" s="92"/>
      <c r="BC192" s="92"/>
      <c r="BD192" s="92"/>
      <c r="BE192" s="92"/>
      <c r="BF192" s="92"/>
      <c r="BG192" s="92"/>
      <c r="BH192" s="92"/>
    </row>
    <row r="193" spans="1:60">
      <c r="A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92"/>
      <c r="AH193" s="92"/>
      <c r="AI193" s="92"/>
      <c r="AJ193" s="92"/>
      <c r="AK193" s="92"/>
      <c r="AL193" s="92"/>
      <c r="AM193" s="92"/>
      <c r="AN193" s="92"/>
      <c r="AO193" s="92"/>
      <c r="AP193" s="92"/>
      <c r="AQ193" s="92"/>
      <c r="AR193" s="92"/>
      <c r="AS193" s="92"/>
      <c r="AT193" s="92"/>
      <c r="AU193" s="92"/>
      <c r="AV193" s="92"/>
      <c r="AW193" s="92"/>
      <c r="AX193" s="92"/>
      <c r="AY193" s="92"/>
      <c r="AZ193" s="92"/>
      <c r="BA193" s="92"/>
      <c r="BB193" s="92"/>
      <c r="BC193" s="92"/>
      <c r="BD193" s="92"/>
      <c r="BE193" s="92"/>
      <c r="BF193" s="92"/>
      <c r="BG193" s="92"/>
      <c r="BH193" s="92"/>
    </row>
    <row r="194" spans="1:60">
      <c r="A194" s="92"/>
      <c r="J194" s="92"/>
      <c r="K194" s="92"/>
      <c r="L194" s="92"/>
      <c r="M194" s="92"/>
      <c r="N194" s="92"/>
      <c r="O194" s="92"/>
      <c r="P194" s="92"/>
      <c r="Q194" s="92"/>
      <c r="R194" s="92"/>
      <c r="S194" s="92"/>
      <c r="T194" s="92"/>
      <c r="U194" s="92"/>
      <c r="V194" s="92"/>
      <c r="W194" s="92"/>
      <c r="X194" s="92"/>
      <c r="Y194" s="92"/>
      <c r="Z194" s="92"/>
      <c r="AA194" s="92"/>
      <c r="AB194" s="92"/>
      <c r="AC194" s="92"/>
      <c r="AD194" s="92"/>
      <c r="AE194" s="92"/>
      <c r="AF194" s="92"/>
      <c r="AG194" s="92"/>
      <c r="AH194" s="92"/>
      <c r="AI194" s="92"/>
      <c r="AJ194" s="92"/>
      <c r="AK194" s="92"/>
      <c r="AL194" s="92"/>
      <c r="AM194" s="92"/>
      <c r="AN194" s="92"/>
      <c r="AO194" s="92"/>
      <c r="AP194" s="92"/>
      <c r="AQ194" s="92"/>
      <c r="AR194" s="92"/>
      <c r="AS194" s="92"/>
      <c r="AT194" s="92"/>
      <c r="AU194" s="92"/>
      <c r="AV194" s="92"/>
      <c r="AW194" s="92"/>
      <c r="AX194" s="92"/>
      <c r="AY194" s="92"/>
      <c r="AZ194" s="92"/>
      <c r="BA194" s="92"/>
      <c r="BB194" s="92"/>
      <c r="BC194" s="92"/>
      <c r="BD194" s="92"/>
      <c r="BE194" s="92"/>
      <c r="BF194" s="92"/>
      <c r="BG194" s="92"/>
      <c r="BH194" s="92"/>
    </row>
    <row r="195" spans="1:60">
      <c r="A195" s="92"/>
      <c r="J195" s="92"/>
      <c r="K195" s="92"/>
      <c r="L195" s="92"/>
      <c r="M195" s="92"/>
      <c r="N195" s="92"/>
      <c r="O195" s="92"/>
      <c r="P195" s="92"/>
      <c r="Q195" s="92"/>
      <c r="R195" s="92"/>
      <c r="S195" s="92"/>
      <c r="T195" s="92"/>
      <c r="U195" s="92"/>
      <c r="V195" s="92"/>
      <c r="W195" s="92"/>
      <c r="X195" s="92"/>
      <c r="Y195" s="92"/>
      <c r="Z195" s="92"/>
      <c r="AA195" s="92"/>
      <c r="AB195" s="92"/>
      <c r="AC195" s="92"/>
      <c r="AD195" s="92"/>
      <c r="AE195" s="92"/>
      <c r="AF195" s="92"/>
      <c r="AG195" s="92"/>
      <c r="AH195" s="92"/>
      <c r="AI195" s="92"/>
      <c r="AJ195" s="92"/>
      <c r="AK195" s="92"/>
      <c r="AL195" s="92"/>
      <c r="AM195" s="92"/>
      <c r="AN195" s="92"/>
      <c r="AO195" s="92"/>
      <c r="AP195" s="92"/>
      <c r="AQ195" s="92"/>
      <c r="AR195" s="92"/>
      <c r="AS195" s="92"/>
      <c r="AT195" s="92"/>
      <c r="AU195" s="92"/>
      <c r="AV195" s="92"/>
      <c r="AW195" s="92"/>
      <c r="AX195" s="92"/>
      <c r="AY195" s="92"/>
      <c r="AZ195" s="92"/>
      <c r="BA195" s="92"/>
      <c r="BB195" s="92"/>
      <c r="BC195" s="92"/>
      <c r="BD195" s="92"/>
      <c r="BE195" s="92"/>
      <c r="BF195" s="92"/>
      <c r="BG195" s="92"/>
      <c r="BH195" s="92"/>
    </row>
    <row r="196" spans="1:60">
      <c r="A196" s="92"/>
      <c r="J196" s="92"/>
      <c r="K196" s="92"/>
      <c r="L196" s="92"/>
      <c r="M196" s="92"/>
      <c r="N196" s="92"/>
      <c r="O196" s="92"/>
      <c r="P196" s="92"/>
      <c r="Q196" s="92"/>
      <c r="R196" s="92"/>
      <c r="S196" s="92"/>
      <c r="T196" s="92"/>
      <c r="U196" s="92"/>
      <c r="V196" s="92"/>
      <c r="W196" s="92"/>
      <c r="X196" s="92"/>
      <c r="Y196" s="92"/>
      <c r="Z196" s="92"/>
      <c r="AA196" s="92"/>
      <c r="AB196" s="92"/>
      <c r="AC196" s="92"/>
      <c r="AD196" s="92"/>
      <c r="AE196" s="92"/>
      <c r="AF196" s="92"/>
      <c r="AG196" s="92"/>
      <c r="AH196" s="92"/>
      <c r="AI196" s="92"/>
      <c r="AJ196" s="92"/>
      <c r="AK196" s="92"/>
      <c r="AL196" s="92"/>
      <c r="AM196" s="92"/>
      <c r="AN196" s="92"/>
      <c r="AO196" s="92"/>
      <c r="AP196" s="92"/>
      <c r="AQ196" s="92"/>
      <c r="AR196" s="92"/>
      <c r="AS196" s="92"/>
      <c r="AT196" s="92"/>
      <c r="AU196" s="92"/>
      <c r="AV196" s="92"/>
      <c r="AW196" s="92"/>
      <c r="AX196" s="92"/>
      <c r="AY196" s="92"/>
      <c r="AZ196" s="92"/>
      <c r="BA196" s="92"/>
      <c r="BB196" s="92"/>
      <c r="BC196" s="92"/>
      <c r="BD196" s="92"/>
      <c r="BE196" s="92"/>
      <c r="BF196" s="92"/>
      <c r="BG196" s="92"/>
      <c r="BH196" s="92"/>
    </row>
    <row r="197" spans="1:60">
      <c r="A197" s="92"/>
      <c r="J197" s="92"/>
      <c r="K197" s="92"/>
      <c r="L197" s="92"/>
      <c r="M197" s="92"/>
      <c r="N197" s="92"/>
      <c r="O197" s="92"/>
      <c r="P197" s="92"/>
      <c r="Q197" s="92"/>
      <c r="R197" s="92"/>
      <c r="S197" s="92"/>
      <c r="T197" s="92"/>
      <c r="U197" s="92"/>
      <c r="V197" s="92"/>
      <c r="W197" s="92"/>
      <c r="X197" s="92"/>
      <c r="Y197" s="92"/>
      <c r="Z197" s="92"/>
      <c r="AA197" s="92"/>
      <c r="AB197" s="92"/>
      <c r="AC197" s="92"/>
      <c r="AD197" s="92"/>
      <c r="AE197" s="92"/>
      <c r="AF197" s="92"/>
      <c r="AG197" s="92"/>
      <c r="AH197" s="92"/>
      <c r="AI197" s="92"/>
      <c r="AJ197" s="92"/>
      <c r="AK197" s="92"/>
      <c r="AL197" s="92"/>
      <c r="AM197" s="92"/>
      <c r="AN197" s="92"/>
      <c r="AO197" s="92"/>
      <c r="AP197" s="92"/>
      <c r="AQ197" s="92"/>
      <c r="AR197" s="92"/>
      <c r="AS197" s="92"/>
      <c r="AT197" s="92"/>
      <c r="AU197" s="92"/>
      <c r="AV197" s="92"/>
      <c r="AW197" s="92"/>
      <c r="AX197" s="92"/>
      <c r="AY197" s="92"/>
      <c r="AZ197" s="92"/>
      <c r="BA197" s="92"/>
      <c r="BB197" s="92"/>
      <c r="BC197" s="92"/>
      <c r="BD197" s="92"/>
      <c r="BE197" s="92"/>
      <c r="BF197" s="92"/>
      <c r="BG197" s="92"/>
      <c r="BH197" s="92"/>
    </row>
    <row r="198" spans="1:60">
      <c r="A198" s="92"/>
      <c r="J198" s="92"/>
      <c r="K198" s="92"/>
      <c r="L198" s="92"/>
      <c r="M198" s="92"/>
      <c r="N198" s="92"/>
      <c r="O198" s="92"/>
      <c r="P198" s="92"/>
      <c r="Q198" s="92"/>
      <c r="R198" s="92"/>
      <c r="S198" s="92"/>
      <c r="T198" s="92"/>
      <c r="U198" s="92"/>
      <c r="V198" s="92"/>
      <c r="W198" s="92"/>
      <c r="X198" s="92"/>
      <c r="Y198" s="92"/>
      <c r="Z198" s="92"/>
      <c r="AA198" s="92"/>
      <c r="AB198" s="92"/>
      <c r="AC198" s="92"/>
      <c r="AD198" s="92"/>
      <c r="AE198" s="92"/>
      <c r="AF198" s="92"/>
      <c r="AG198" s="92"/>
      <c r="AH198" s="92"/>
      <c r="AI198" s="92"/>
      <c r="AJ198" s="92"/>
      <c r="AK198" s="92"/>
      <c r="AL198" s="92"/>
      <c r="AM198" s="92"/>
      <c r="AN198" s="92"/>
      <c r="AO198" s="92"/>
      <c r="AP198" s="92"/>
      <c r="AQ198" s="92"/>
      <c r="AR198" s="92"/>
      <c r="AS198" s="92"/>
      <c r="AT198" s="92"/>
      <c r="AU198" s="92"/>
      <c r="AV198" s="92"/>
      <c r="AW198" s="92"/>
      <c r="AX198" s="92"/>
      <c r="AY198" s="92"/>
      <c r="AZ198" s="92"/>
      <c r="BA198" s="92"/>
      <c r="BB198" s="92"/>
      <c r="BC198" s="92"/>
      <c r="BD198" s="92"/>
      <c r="BE198" s="92"/>
      <c r="BF198" s="92"/>
      <c r="BG198" s="92"/>
      <c r="BH198" s="92"/>
    </row>
    <row r="199" spans="1:60">
      <c r="A199" s="92"/>
      <c r="J199" s="92"/>
      <c r="K199" s="92"/>
      <c r="L199" s="92"/>
      <c r="M199" s="92"/>
      <c r="N199" s="92"/>
      <c r="O199" s="92"/>
      <c r="P199" s="92"/>
      <c r="Q199" s="92"/>
      <c r="R199" s="92"/>
      <c r="S199" s="92"/>
      <c r="T199" s="92"/>
      <c r="U199" s="92"/>
      <c r="V199" s="92"/>
      <c r="W199" s="92"/>
      <c r="X199" s="92"/>
      <c r="Y199" s="92"/>
      <c r="Z199" s="92"/>
      <c r="AA199" s="92"/>
      <c r="AB199" s="92"/>
      <c r="AC199" s="92"/>
      <c r="AD199" s="92"/>
      <c r="AE199" s="92"/>
      <c r="AF199" s="92"/>
      <c r="AG199" s="92"/>
      <c r="AH199" s="92"/>
      <c r="AI199" s="92"/>
      <c r="AJ199" s="92"/>
      <c r="AK199" s="92"/>
      <c r="AL199" s="92"/>
      <c r="AM199" s="92"/>
      <c r="AN199" s="92"/>
      <c r="AO199" s="92"/>
      <c r="AP199" s="92"/>
      <c r="AQ199" s="92"/>
      <c r="AR199" s="92"/>
      <c r="AS199" s="92"/>
      <c r="AT199" s="92"/>
      <c r="AU199" s="92"/>
      <c r="AV199" s="92"/>
      <c r="AW199" s="92"/>
      <c r="AX199" s="92"/>
      <c r="AY199" s="92"/>
      <c r="AZ199" s="92"/>
      <c r="BA199" s="92"/>
      <c r="BB199" s="92"/>
      <c r="BC199" s="92"/>
      <c r="BD199" s="92"/>
      <c r="BE199" s="92"/>
      <c r="BF199" s="92"/>
      <c r="BG199" s="92"/>
      <c r="BH199" s="92"/>
    </row>
    <row r="200" spans="1:60">
      <c r="A200" s="92"/>
      <c r="J200" s="92"/>
      <c r="K200" s="92"/>
      <c r="L200" s="92"/>
      <c r="M200" s="92"/>
      <c r="N200" s="92"/>
      <c r="O200" s="92"/>
      <c r="P200" s="92"/>
      <c r="Q200" s="92"/>
      <c r="R200" s="92"/>
      <c r="S200" s="92"/>
      <c r="T200" s="92"/>
      <c r="U200" s="92"/>
      <c r="V200" s="92"/>
      <c r="W200" s="92"/>
      <c r="X200" s="92"/>
      <c r="Y200" s="92"/>
      <c r="Z200" s="92"/>
      <c r="AA200" s="92"/>
      <c r="AB200" s="92"/>
      <c r="AC200" s="92"/>
      <c r="AD200" s="92"/>
      <c r="AE200" s="92"/>
      <c r="AF200" s="92"/>
      <c r="AG200" s="92"/>
      <c r="AH200" s="92"/>
      <c r="AI200" s="92"/>
      <c r="AJ200" s="92"/>
      <c r="AK200" s="92"/>
      <c r="AL200" s="92"/>
      <c r="AM200" s="92"/>
      <c r="AN200" s="92"/>
      <c r="AO200" s="92"/>
      <c r="AP200" s="92"/>
      <c r="AQ200" s="92"/>
      <c r="AR200" s="92"/>
      <c r="AS200" s="92"/>
      <c r="AT200" s="92"/>
      <c r="AU200" s="92"/>
      <c r="AV200" s="92"/>
      <c r="AW200" s="92"/>
      <c r="AX200" s="92"/>
      <c r="AY200" s="92"/>
      <c r="AZ200" s="92"/>
      <c r="BA200" s="92"/>
      <c r="BB200" s="92"/>
      <c r="BC200" s="92"/>
      <c r="BD200" s="92"/>
      <c r="BE200" s="92"/>
      <c r="BF200" s="92"/>
      <c r="BG200" s="92"/>
      <c r="BH200" s="92"/>
    </row>
    <row r="201" spans="1:60">
      <c r="A201" s="92"/>
      <c r="J201" s="92"/>
      <c r="K201" s="92"/>
      <c r="L201" s="92"/>
      <c r="M201" s="92"/>
      <c r="N201" s="92"/>
      <c r="O201" s="92"/>
      <c r="P201" s="92"/>
      <c r="Q201" s="92"/>
      <c r="R201" s="92"/>
      <c r="S201" s="92"/>
      <c r="T201" s="92"/>
      <c r="U201" s="92"/>
      <c r="V201" s="92"/>
      <c r="W201" s="92"/>
      <c r="X201" s="92"/>
      <c r="Y201" s="92"/>
      <c r="Z201" s="92"/>
      <c r="AA201" s="92"/>
      <c r="AB201" s="92"/>
      <c r="AC201" s="92"/>
      <c r="AD201" s="92"/>
      <c r="AE201" s="92"/>
      <c r="AF201" s="92"/>
      <c r="AG201" s="92"/>
      <c r="AH201" s="92"/>
      <c r="AI201" s="92"/>
      <c r="AJ201" s="92"/>
      <c r="AK201" s="92"/>
      <c r="AL201" s="92"/>
      <c r="AM201" s="92"/>
      <c r="AN201" s="92"/>
      <c r="AO201" s="92"/>
      <c r="AP201" s="92"/>
      <c r="AQ201" s="92"/>
      <c r="AR201" s="92"/>
      <c r="AS201" s="92"/>
      <c r="AT201" s="92"/>
      <c r="AU201" s="92"/>
      <c r="AV201" s="92"/>
      <c r="AW201" s="92"/>
      <c r="AX201" s="92"/>
      <c r="AY201" s="92"/>
      <c r="AZ201" s="92"/>
      <c r="BA201" s="92"/>
      <c r="BB201" s="92"/>
      <c r="BC201" s="92"/>
      <c r="BD201" s="92"/>
      <c r="BE201" s="92"/>
      <c r="BF201" s="92"/>
      <c r="BG201" s="92"/>
      <c r="BH201" s="92"/>
    </row>
    <row r="202" spans="1:60">
      <c r="A202" s="92"/>
      <c r="J202" s="92"/>
      <c r="K202" s="92"/>
      <c r="L202" s="92"/>
      <c r="M202" s="92"/>
      <c r="N202" s="92"/>
      <c r="O202" s="92"/>
      <c r="P202" s="92"/>
      <c r="Q202" s="92"/>
      <c r="R202" s="92"/>
      <c r="S202" s="92"/>
      <c r="T202" s="92"/>
      <c r="U202" s="92"/>
      <c r="V202" s="92"/>
      <c r="W202" s="92"/>
      <c r="X202" s="92"/>
      <c r="Y202" s="92"/>
      <c r="Z202" s="92"/>
      <c r="AA202" s="92"/>
      <c r="AB202" s="92"/>
      <c r="AC202" s="92"/>
      <c r="AD202" s="92"/>
      <c r="AE202" s="92"/>
      <c r="AF202" s="92"/>
      <c r="AG202" s="92"/>
      <c r="AH202" s="92"/>
      <c r="AI202" s="92"/>
      <c r="AJ202" s="92"/>
      <c r="AK202" s="92"/>
      <c r="AL202" s="92"/>
      <c r="AM202" s="92"/>
      <c r="AN202" s="92"/>
      <c r="AO202" s="92"/>
      <c r="AP202" s="92"/>
      <c r="AQ202" s="92"/>
      <c r="AR202" s="92"/>
      <c r="AS202" s="92"/>
      <c r="AT202" s="92"/>
      <c r="AU202" s="92"/>
      <c r="AV202" s="92"/>
      <c r="AW202" s="92"/>
      <c r="AX202" s="92"/>
      <c r="AY202" s="92"/>
      <c r="AZ202" s="92"/>
      <c r="BA202" s="92"/>
      <c r="BB202" s="92"/>
      <c r="BC202" s="92"/>
      <c r="BD202" s="92"/>
      <c r="BE202" s="92"/>
      <c r="BF202" s="92"/>
      <c r="BG202" s="92"/>
      <c r="BH202" s="92"/>
    </row>
    <row r="203" spans="1:60">
      <c r="A203" s="92"/>
      <c r="J203" s="92"/>
      <c r="K203" s="92"/>
      <c r="L203" s="92"/>
      <c r="M203" s="92"/>
      <c r="N203" s="92"/>
      <c r="O203" s="92"/>
      <c r="P203" s="92"/>
      <c r="Q203" s="92"/>
      <c r="R203" s="92"/>
      <c r="S203" s="92"/>
      <c r="T203" s="92"/>
      <c r="U203" s="92"/>
      <c r="V203" s="92"/>
      <c r="W203" s="92"/>
      <c r="X203" s="92"/>
      <c r="Y203" s="92"/>
      <c r="Z203" s="92"/>
      <c r="AA203" s="92"/>
      <c r="AB203" s="92"/>
      <c r="AC203" s="92"/>
      <c r="AD203" s="92"/>
      <c r="AE203" s="92"/>
      <c r="AF203" s="92"/>
      <c r="AG203" s="92"/>
      <c r="AH203" s="92"/>
      <c r="AI203" s="92"/>
      <c r="AJ203" s="92"/>
      <c r="AK203" s="92"/>
      <c r="AL203" s="92"/>
      <c r="AM203" s="92"/>
      <c r="AN203" s="92"/>
      <c r="AO203" s="92"/>
      <c r="AP203" s="92"/>
      <c r="AQ203" s="92"/>
      <c r="AR203" s="92"/>
      <c r="AS203" s="92"/>
      <c r="AT203" s="92"/>
      <c r="AU203" s="92"/>
      <c r="AV203" s="92"/>
      <c r="AW203" s="92"/>
      <c r="AX203" s="92"/>
      <c r="AY203" s="92"/>
      <c r="AZ203" s="92"/>
      <c r="BA203" s="92"/>
      <c r="BB203" s="92"/>
      <c r="BC203" s="92"/>
      <c r="BD203" s="92"/>
      <c r="BE203" s="92"/>
      <c r="BF203" s="92"/>
      <c r="BG203" s="92"/>
      <c r="BH203" s="92"/>
    </row>
    <row r="204" spans="1:60">
      <c r="A204" s="92"/>
      <c r="J204" s="92"/>
      <c r="K204" s="92"/>
      <c r="L204" s="92"/>
      <c r="M204" s="92"/>
      <c r="N204" s="92"/>
      <c r="O204" s="92"/>
      <c r="P204" s="92"/>
      <c r="Q204" s="92"/>
      <c r="R204" s="92"/>
      <c r="S204" s="92"/>
      <c r="T204" s="92"/>
      <c r="U204" s="92"/>
      <c r="V204" s="92"/>
      <c r="W204" s="92"/>
      <c r="X204" s="92"/>
      <c r="Y204" s="92"/>
      <c r="Z204" s="92"/>
      <c r="AA204" s="92"/>
      <c r="AB204" s="92"/>
      <c r="AC204" s="92"/>
      <c r="AD204" s="92"/>
      <c r="AE204" s="92"/>
      <c r="AF204" s="92"/>
      <c r="AG204" s="92"/>
      <c r="AH204" s="92"/>
      <c r="AI204" s="92"/>
      <c r="AJ204" s="92"/>
      <c r="AK204" s="92"/>
      <c r="AL204" s="92"/>
      <c r="AM204" s="92"/>
      <c r="AN204" s="92"/>
      <c r="AO204" s="92"/>
      <c r="AP204" s="92"/>
      <c r="AQ204" s="92"/>
      <c r="AR204" s="92"/>
      <c r="AS204" s="92"/>
      <c r="AT204" s="92"/>
      <c r="AU204" s="92"/>
      <c r="AV204" s="92"/>
      <c r="AW204" s="92"/>
      <c r="AX204" s="92"/>
      <c r="AY204" s="92"/>
      <c r="AZ204" s="92"/>
      <c r="BA204" s="92"/>
      <c r="BB204" s="92"/>
      <c r="BC204" s="92"/>
      <c r="BD204" s="92"/>
      <c r="BE204" s="92"/>
      <c r="BF204" s="92"/>
      <c r="BG204" s="92"/>
      <c r="BH204" s="92"/>
    </row>
    <row r="205" spans="1:60">
      <c r="A205" s="92"/>
      <c r="J205" s="92"/>
      <c r="K205" s="92"/>
      <c r="L205" s="92"/>
      <c r="M205" s="92"/>
      <c r="N205" s="92"/>
      <c r="O205" s="92"/>
      <c r="P205" s="92"/>
      <c r="Q205" s="92"/>
      <c r="R205" s="92"/>
      <c r="S205" s="92"/>
      <c r="T205" s="92"/>
      <c r="U205" s="92"/>
      <c r="V205" s="92"/>
      <c r="W205" s="92"/>
      <c r="X205" s="92"/>
      <c r="Y205" s="92"/>
      <c r="Z205" s="92"/>
      <c r="AA205" s="92"/>
      <c r="AB205" s="92"/>
      <c r="AC205" s="92"/>
      <c r="AD205" s="92"/>
      <c r="AE205" s="92"/>
      <c r="AF205" s="92"/>
      <c r="AG205" s="92"/>
      <c r="AH205" s="92"/>
      <c r="AI205" s="92"/>
      <c r="AJ205" s="92"/>
      <c r="AK205" s="92"/>
      <c r="AL205" s="92"/>
      <c r="AM205" s="92"/>
      <c r="AN205" s="92"/>
      <c r="AO205" s="92"/>
      <c r="AP205" s="92"/>
      <c r="AQ205" s="92"/>
      <c r="AR205" s="92"/>
      <c r="AS205" s="92"/>
      <c r="AT205" s="92"/>
      <c r="AU205" s="92"/>
      <c r="AV205" s="92"/>
      <c r="AW205" s="92"/>
      <c r="AX205" s="92"/>
      <c r="AY205" s="92"/>
      <c r="AZ205" s="92"/>
      <c r="BA205" s="92"/>
      <c r="BB205" s="92"/>
      <c r="BC205" s="92"/>
      <c r="BD205" s="92"/>
      <c r="BE205" s="92"/>
      <c r="BF205" s="92"/>
      <c r="BG205" s="92"/>
      <c r="BH205" s="92"/>
    </row>
    <row r="206" spans="1:60">
      <c r="A206" s="92"/>
      <c r="J206" s="92"/>
      <c r="K206" s="92"/>
      <c r="L206" s="92"/>
      <c r="M206" s="92"/>
      <c r="N206" s="92"/>
      <c r="O206" s="92"/>
      <c r="P206" s="92"/>
      <c r="Q206" s="92"/>
      <c r="R206" s="92"/>
      <c r="S206" s="92"/>
      <c r="T206" s="92"/>
      <c r="U206" s="92"/>
      <c r="V206" s="92"/>
      <c r="W206" s="92"/>
      <c r="X206" s="92"/>
      <c r="Y206" s="92"/>
      <c r="Z206" s="92"/>
      <c r="AA206" s="92"/>
      <c r="AB206" s="92"/>
      <c r="AC206" s="92"/>
      <c r="AD206" s="92"/>
      <c r="AE206" s="92"/>
      <c r="AF206" s="92"/>
      <c r="AG206" s="92"/>
      <c r="AH206" s="92"/>
      <c r="AI206" s="92"/>
      <c r="AJ206" s="92"/>
      <c r="AK206" s="92"/>
      <c r="AL206" s="92"/>
      <c r="AM206" s="92"/>
      <c r="AN206" s="92"/>
      <c r="AO206" s="92"/>
      <c r="AP206" s="92"/>
      <c r="AQ206" s="92"/>
      <c r="AR206" s="92"/>
      <c r="AS206" s="92"/>
      <c r="AT206" s="92"/>
      <c r="AU206" s="92"/>
      <c r="AV206" s="92"/>
      <c r="AW206" s="92"/>
      <c r="AX206" s="92"/>
      <c r="AY206" s="92"/>
      <c r="AZ206" s="92"/>
      <c r="BA206" s="92"/>
      <c r="BB206" s="92"/>
      <c r="BC206" s="92"/>
      <c r="BD206" s="92"/>
      <c r="BE206" s="92"/>
      <c r="BF206" s="92"/>
      <c r="BG206" s="92"/>
      <c r="BH206" s="92"/>
    </row>
    <row r="207" spans="1:60">
      <c r="A207" s="92"/>
      <c r="J207" s="92"/>
      <c r="K207" s="92"/>
      <c r="L207" s="92"/>
      <c r="M207" s="92"/>
      <c r="N207" s="92"/>
      <c r="O207" s="92"/>
      <c r="P207" s="92"/>
      <c r="Q207" s="92"/>
      <c r="R207" s="92"/>
      <c r="S207" s="92"/>
      <c r="T207" s="92"/>
      <c r="U207" s="92"/>
      <c r="V207" s="92"/>
      <c r="W207" s="92"/>
      <c r="X207" s="92"/>
      <c r="Y207" s="92"/>
      <c r="Z207" s="92"/>
      <c r="AA207" s="92"/>
      <c r="AB207" s="92"/>
      <c r="AC207" s="92"/>
      <c r="AD207" s="92"/>
      <c r="AE207" s="92"/>
      <c r="AF207" s="92"/>
      <c r="AG207" s="92"/>
      <c r="AH207" s="92"/>
      <c r="AI207" s="92"/>
      <c r="AJ207" s="92"/>
      <c r="AK207" s="92"/>
      <c r="AL207" s="92"/>
      <c r="AM207" s="92"/>
      <c r="AN207" s="92"/>
      <c r="AO207" s="92"/>
      <c r="AP207" s="92"/>
      <c r="AQ207" s="92"/>
      <c r="AR207" s="92"/>
      <c r="AS207" s="92"/>
      <c r="AT207" s="92"/>
      <c r="AU207" s="92"/>
      <c r="AV207" s="92"/>
      <c r="AW207" s="92"/>
      <c r="AX207" s="92"/>
      <c r="AY207" s="92"/>
      <c r="AZ207" s="92"/>
      <c r="BA207" s="92"/>
      <c r="BB207" s="92"/>
      <c r="BC207" s="92"/>
      <c r="BD207" s="92"/>
      <c r="BE207" s="92"/>
      <c r="BF207" s="92"/>
      <c r="BG207" s="92"/>
      <c r="BH207" s="92"/>
    </row>
    <row r="208" spans="1:60">
      <c r="A208" s="92"/>
      <c r="J208" s="92"/>
      <c r="K208" s="92"/>
      <c r="L208" s="92"/>
      <c r="M208" s="92"/>
      <c r="N208" s="92"/>
      <c r="O208" s="92"/>
      <c r="P208" s="92"/>
      <c r="Q208" s="92"/>
      <c r="R208" s="92"/>
      <c r="S208" s="92"/>
      <c r="T208" s="92"/>
      <c r="U208" s="92"/>
      <c r="V208" s="92"/>
      <c r="W208" s="92"/>
      <c r="X208" s="92"/>
      <c r="Y208" s="92"/>
      <c r="Z208" s="92"/>
      <c r="AA208" s="92"/>
      <c r="AB208" s="92"/>
      <c r="AC208" s="92"/>
      <c r="AD208" s="92"/>
      <c r="AE208" s="92"/>
      <c r="AF208" s="92"/>
      <c r="AG208" s="92"/>
      <c r="AH208" s="92"/>
      <c r="AI208" s="92"/>
      <c r="AJ208" s="92"/>
      <c r="AK208" s="92"/>
      <c r="AL208" s="92"/>
      <c r="AM208" s="92"/>
      <c r="AN208" s="92"/>
      <c r="AO208" s="92"/>
      <c r="AP208" s="92"/>
      <c r="AQ208" s="92"/>
      <c r="AR208" s="92"/>
      <c r="AS208" s="92"/>
      <c r="AT208" s="92"/>
      <c r="AU208" s="92"/>
      <c r="AV208" s="92"/>
      <c r="AW208" s="92"/>
      <c r="AX208" s="92"/>
      <c r="AY208" s="92"/>
      <c r="AZ208" s="92"/>
      <c r="BA208" s="92"/>
      <c r="BB208" s="92"/>
      <c r="BC208" s="92"/>
      <c r="BD208" s="92"/>
      <c r="BE208" s="92"/>
      <c r="BF208" s="92"/>
      <c r="BG208" s="92"/>
      <c r="BH208" s="92"/>
    </row>
    <row r="209" spans="1:60">
      <c r="A209" s="92"/>
      <c r="J209" s="92"/>
      <c r="K209" s="92"/>
      <c r="L209" s="92"/>
      <c r="M209" s="92"/>
      <c r="N209" s="92"/>
      <c r="O209" s="92"/>
      <c r="P209" s="92"/>
      <c r="Q209" s="92"/>
      <c r="R209" s="92"/>
      <c r="S209" s="92"/>
      <c r="T209" s="92"/>
      <c r="U209" s="92"/>
      <c r="V209" s="92"/>
      <c r="W209" s="92"/>
      <c r="X209" s="92"/>
      <c r="Y209" s="92"/>
      <c r="Z209" s="92"/>
      <c r="AA209" s="92"/>
      <c r="AB209" s="92"/>
      <c r="AC209" s="92"/>
      <c r="AD209" s="92"/>
      <c r="AE209" s="92"/>
      <c r="AF209" s="92"/>
      <c r="AG209" s="92"/>
      <c r="AH209" s="92"/>
      <c r="AI209" s="92"/>
      <c r="AJ209" s="92"/>
      <c r="AK209" s="92"/>
      <c r="AL209" s="92"/>
      <c r="AM209" s="92"/>
      <c r="AN209" s="92"/>
      <c r="AO209" s="92"/>
      <c r="AP209" s="92"/>
      <c r="AQ209" s="92"/>
      <c r="AR209" s="92"/>
      <c r="AS209" s="92"/>
      <c r="AT209" s="92"/>
      <c r="AU209" s="92"/>
      <c r="AV209" s="92"/>
      <c r="AW209" s="92"/>
      <c r="AX209" s="92"/>
      <c r="AY209" s="92"/>
      <c r="AZ209" s="92"/>
      <c r="BA209" s="92"/>
      <c r="BB209" s="92"/>
      <c r="BC209" s="92"/>
      <c r="BD209" s="92"/>
      <c r="BE209" s="92"/>
      <c r="BF209" s="92"/>
      <c r="BG209" s="92"/>
      <c r="BH209" s="92"/>
    </row>
    <row r="210" spans="1:60">
      <c r="A210" s="92"/>
      <c r="J210" s="92"/>
      <c r="K210" s="92"/>
      <c r="L210" s="92"/>
      <c r="M210" s="92"/>
      <c r="N210" s="92"/>
      <c r="O210" s="92"/>
      <c r="P210" s="92"/>
      <c r="Q210" s="92"/>
      <c r="R210" s="92"/>
      <c r="S210" s="92"/>
      <c r="T210" s="92"/>
      <c r="U210" s="92"/>
      <c r="V210" s="92"/>
      <c r="W210" s="92"/>
      <c r="X210" s="92"/>
      <c r="Y210" s="92"/>
      <c r="Z210" s="92"/>
      <c r="AA210" s="92"/>
      <c r="AB210" s="92"/>
      <c r="AC210" s="92"/>
      <c r="AD210" s="92"/>
      <c r="AE210" s="92"/>
      <c r="AF210" s="92"/>
      <c r="AG210" s="92"/>
      <c r="AH210" s="92"/>
      <c r="AI210" s="92"/>
      <c r="AJ210" s="92"/>
      <c r="AK210" s="92"/>
      <c r="AL210" s="92"/>
      <c r="AM210" s="92"/>
      <c r="AN210" s="92"/>
      <c r="AO210" s="92"/>
      <c r="AP210" s="92"/>
      <c r="AQ210" s="92"/>
      <c r="AR210" s="92"/>
      <c r="AS210" s="92"/>
      <c r="AT210" s="92"/>
      <c r="AU210" s="92"/>
      <c r="AV210" s="92"/>
      <c r="AW210" s="92"/>
      <c r="AX210" s="92"/>
      <c r="AY210" s="92"/>
      <c r="AZ210" s="92"/>
      <c r="BA210" s="92"/>
      <c r="BB210" s="92"/>
      <c r="BC210" s="92"/>
      <c r="BD210" s="92"/>
      <c r="BE210" s="92"/>
      <c r="BF210" s="92"/>
      <c r="BG210" s="92"/>
      <c r="BH210" s="92"/>
    </row>
    <row r="211" spans="1:60">
      <c r="A211" s="92"/>
      <c r="J211" s="92"/>
      <c r="K211" s="92"/>
      <c r="L211" s="92"/>
      <c r="M211" s="92"/>
      <c r="N211" s="92"/>
      <c r="O211" s="92"/>
      <c r="P211" s="92"/>
      <c r="Q211" s="92"/>
      <c r="R211" s="92"/>
      <c r="S211" s="92"/>
      <c r="T211" s="92"/>
      <c r="U211" s="92"/>
      <c r="V211" s="92"/>
      <c r="W211" s="92"/>
      <c r="X211" s="92"/>
      <c r="Y211" s="92"/>
      <c r="Z211" s="92"/>
      <c r="AA211" s="92"/>
      <c r="AB211" s="92"/>
      <c r="AC211" s="92"/>
      <c r="AD211" s="92"/>
      <c r="AE211" s="92"/>
      <c r="AF211" s="92"/>
      <c r="AG211" s="92"/>
      <c r="AH211" s="92"/>
      <c r="AI211" s="92"/>
      <c r="AJ211" s="92"/>
      <c r="AK211" s="92"/>
      <c r="AL211" s="92"/>
      <c r="AM211" s="92"/>
      <c r="AN211" s="92"/>
      <c r="AO211" s="92"/>
      <c r="AP211" s="92"/>
      <c r="AQ211" s="92"/>
      <c r="AR211" s="92"/>
      <c r="AS211" s="92"/>
      <c r="AT211" s="92"/>
      <c r="AU211" s="92"/>
      <c r="AV211" s="92"/>
      <c r="AW211" s="92"/>
      <c r="AX211" s="92"/>
      <c r="AY211" s="92"/>
      <c r="AZ211" s="92"/>
      <c r="BA211" s="92"/>
      <c r="BB211" s="92"/>
      <c r="BC211" s="92"/>
      <c r="BD211" s="92"/>
      <c r="BE211" s="92"/>
      <c r="BF211" s="92"/>
      <c r="BG211" s="92"/>
      <c r="BH211" s="92"/>
    </row>
    <row r="212" spans="1:60">
      <c r="A212" s="92"/>
      <c r="J212" s="92"/>
      <c r="K212" s="92"/>
      <c r="L212" s="92"/>
      <c r="M212" s="92"/>
      <c r="N212" s="92"/>
      <c r="O212" s="92"/>
      <c r="P212" s="92"/>
      <c r="Q212" s="92"/>
      <c r="R212" s="92"/>
      <c r="S212" s="92"/>
      <c r="T212" s="92"/>
      <c r="U212" s="92"/>
      <c r="V212" s="92"/>
      <c r="W212" s="92"/>
      <c r="X212" s="92"/>
      <c r="Y212" s="92"/>
      <c r="Z212" s="92"/>
      <c r="AA212" s="92"/>
      <c r="AB212" s="92"/>
      <c r="AC212" s="92"/>
      <c r="AD212" s="92"/>
      <c r="AE212" s="92"/>
      <c r="AF212" s="92"/>
      <c r="AG212" s="92"/>
      <c r="AH212" s="92"/>
      <c r="AI212" s="92"/>
      <c r="AJ212" s="92"/>
      <c r="AK212" s="92"/>
      <c r="AL212" s="92"/>
      <c r="AM212" s="92"/>
      <c r="AN212" s="92"/>
      <c r="AO212" s="92"/>
      <c r="AP212" s="92"/>
      <c r="AQ212" s="92"/>
      <c r="AR212" s="92"/>
      <c r="AS212" s="92"/>
      <c r="AT212" s="92"/>
      <c r="AU212" s="92"/>
      <c r="AV212" s="92"/>
      <c r="AW212" s="92"/>
      <c r="AX212" s="92"/>
      <c r="AY212" s="92"/>
      <c r="AZ212" s="92"/>
      <c r="BA212" s="92"/>
      <c r="BB212" s="92"/>
      <c r="BC212" s="92"/>
      <c r="BD212" s="92"/>
      <c r="BE212" s="92"/>
      <c r="BF212" s="92"/>
      <c r="BG212" s="92"/>
      <c r="BH212" s="92"/>
    </row>
    <row r="213" spans="1:60">
      <c r="A213" s="92"/>
      <c r="J213" s="92"/>
      <c r="K213" s="92"/>
      <c r="L213" s="92"/>
      <c r="M213" s="92"/>
      <c r="N213" s="92"/>
      <c r="O213" s="92"/>
      <c r="P213" s="92"/>
      <c r="Q213" s="92"/>
      <c r="R213" s="92"/>
      <c r="S213" s="92"/>
      <c r="T213" s="92"/>
      <c r="U213" s="92"/>
      <c r="V213" s="92"/>
      <c r="W213" s="92"/>
      <c r="X213" s="92"/>
      <c r="Y213" s="92"/>
      <c r="Z213" s="92"/>
      <c r="AA213" s="92"/>
      <c r="AB213" s="92"/>
      <c r="AC213" s="92"/>
      <c r="AD213" s="92"/>
      <c r="AE213" s="92"/>
      <c r="AF213" s="92"/>
      <c r="AG213" s="92"/>
      <c r="AH213" s="92"/>
      <c r="AI213" s="92"/>
      <c r="AJ213" s="92"/>
      <c r="AK213" s="92"/>
      <c r="AL213" s="92"/>
      <c r="AM213" s="92"/>
      <c r="AN213" s="92"/>
      <c r="AO213" s="92"/>
      <c r="AP213" s="92"/>
      <c r="AQ213" s="92"/>
      <c r="AR213" s="92"/>
      <c r="AS213" s="92"/>
      <c r="AT213" s="92"/>
      <c r="AU213" s="92"/>
      <c r="AV213" s="92"/>
      <c r="AW213" s="92"/>
      <c r="AX213" s="92"/>
      <c r="AY213" s="92"/>
      <c r="AZ213" s="92"/>
      <c r="BA213" s="92"/>
      <c r="BB213" s="92"/>
      <c r="BC213" s="92"/>
      <c r="BD213" s="92"/>
      <c r="BE213" s="92"/>
      <c r="BF213" s="92"/>
      <c r="BG213" s="92"/>
      <c r="BH213" s="92"/>
    </row>
    <row r="214" spans="1:60">
      <c r="A214" s="92"/>
      <c r="J214" s="92"/>
      <c r="K214" s="92"/>
      <c r="L214" s="92"/>
      <c r="M214" s="92"/>
      <c r="N214" s="92"/>
      <c r="O214" s="92"/>
      <c r="P214" s="92"/>
      <c r="Q214" s="92"/>
      <c r="R214" s="92"/>
      <c r="S214" s="92"/>
      <c r="T214" s="92"/>
      <c r="U214" s="92"/>
      <c r="V214" s="92"/>
      <c r="W214" s="92"/>
      <c r="X214" s="92"/>
      <c r="Y214" s="92"/>
      <c r="Z214" s="92"/>
      <c r="AA214" s="92"/>
      <c r="AB214" s="92"/>
      <c r="AC214" s="92"/>
      <c r="AD214" s="92"/>
      <c r="AE214" s="92"/>
      <c r="AF214" s="92"/>
      <c r="AG214" s="92"/>
      <c r="AH214" s="92"/>
      <c r="AI214" s="92"/>
      <c r="AJ214" s="92"/>
      <c r="AK214" s="92"/>
      <c r="AL214" s="92"/>
      <c r="AM214" s="92"/>
      <c r="AN214" s="92"/>
      <c r="AO214" s="92"/>
      <c r="AP214" s="92"/>
      <c r="AQ214" s="92"/>
      <c r="AR214" s="92"/>
      <c r="AS214" s="92"/>
      <c r="AT214" s="92"/>
      <c r="AU214" s="92"/>
      <c r="AV214" s="92"/>
      <c r="AW214" s="92"/>
      <c r="AX214" s="92"/>
      <c r="AY214" s="92"/>
      <c r="AZ214" s="92"/>
      <c r="BA214" s="92"/>
      <c r="BB214" s="92"/>
      <c r="BC214" s="92"/>
      <c r="BD214" s="92"/>
      <c r="BE214" s="92"/>
      <c r="BF214" s="92"/>
      <c r="BG214" s="92"/>
      <c r="BH214" s="92"/>
    </row>
    <row r="215" spans="1:60">
      <c r="A215" s="92"/>
      <c r="J215" s="92"/>
      <c r="K215" s="92"/>
      <c r="L215" s="92"/>
      <c r="M215" s="92"/>
      <c r="N215" s="92"/>
      <c r="O215" s="92"/>
      <c r="P215" s="92"/>
      <c r="Q215" s="92"/>
      <c r="R215" s="92"/>
      <c r="S215" s="92"/>
      <c r="T215" s="92"/>
      <c r="U215" s="92"/>
      <c r="V215" s="92"/>
      <c r="W215" s="92"/>
      <c r="X215" s="92"/>
      <c r="Y215" s="92"/>
      <c r="Z215" s="92"/>
      <c r="AA215" s="92"/>
      <c r="AB215" s="92"/>
      <c r="AC215" s="92"/>
      <c r="AD215" s="92"/>
      <c r="AE215" s="92"/>
      <c r="AF215" s="92"/>
      <c r="AG215" s="92"/>
      <c r="AH215" s="92"/>
      <c r="AI215" s="92"/>
      <c r="AJ215" s="92"/>
      <c r="AK215" s="92"/>
      <c r="AL215" s="92"/>
      <c r="AM215" s="92"/>
      <c r="AN215" s="92"/>
      <c r="AO215" s="92"/>
      <c r="AP215" s="92"/>
      <c r="AQ215" s="92"/>
      <c r="AR215" s="92"/>
      <c r="AS215" s="92"/>
      <c r="AT215" s="92"/>
      <c r="AU215" s="92"/>
      <c r="AV215" s="92"/>
      <c r="AW215" s="92"/>
      <c r="AX215" s="92"/>
      <c r="AY215" s="92"/>
      <c r="AZ215" s="92"/>
      <c r="BA215" s="92"/>
      <c r="BB215" s="92"/>
      <c r="BC215" s="92"/>
      <c r="BD215" s="92"/>
      <c r="BE215" s="92"/>
      <c r="BF215" s="92"/>
      <c r="BG215" s="92"/>
      <c r="BH215" s="92"/>
    </row>
    <row r="216" spans="1:60">
      <c r="A216" s="92"/>
      <c r="J216" s="92"/>
      <c r="K216" s="92"/>
      <c r="L216" s="92"/>
      <c r="M216" s="92"/>
      <c r="N216" s="92"/>
      <c r="O216" s="92"/>
      <c r="P216" s="92"/>
      <c r="Q216" s="92"/>
      <c r="R216" s="92"/>
      <c r="S216" s="92"/>
      <c r="T216" s="92"/>
      <c r="U216" s="92"/>
      <c r="V216" s="92"/>
      <c r="W216" s="92"/>
      <c r="X216" s="92"/>
      <c r="Y216" s="92"/>
      <c r="Z216" s="92"/>
      <c r="AA216" s="92"/>
      <c r="AB216" s="92"/>
      <c r="AC216" s="92"/>
      <c r="AD216" s="92"/>
      <c r="AE216" s="92"/>
      <c r="AF216" s="92"/>
      <c r="AG216" s="92"/>
      <c r="AH216" s="92"/>
      <c r="AI216" s="92"/>
      <c r="AJ216" s="92"/>
      <c r="AK216" s="92"/>
      <c r="AL216" s="92"/>
      <c r="AM216" s="92"/>
      <c r="AN216" s="92"/>
      <c r="AO216" s="92"/>
      <c r="AP216" s="92"/>
      <c r="AQ216" s="92"/>
      <c r="AR216" s="92"/>
      <c r="AS216" s="92"/>
      <c r="AT216" s="92"/>
      <c r="AU216" s="92"/>
      <c r="AV216" s="92"/>
      <c r="AW216" s="92"/>
      <c r="AX216" s="92"/>
      <c r="AY216" s="92"/>
      <c r="AZ216" s="92"/>
      <c r="BA216" s="92"/>
      <c r="BB216" s="92"/>
      <c r="BC216" s="92"/>
      <c r="BD216" s="92"/>
      <c r="BE216" s="92"/>
      <c r="BF216" s="92"/>
      <c r="BG216" s="92"/>
      <c r="BH216" s="92"/>
    </row>
    <row r="217" spans="1:60">
      <c r="A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c r="AG217" s="92"/>
      <c r="AH217" s="92"/>
      <c r="AI217" s="92"/>
      <c r="AJ217" s="92"/>
      <c r="AK217" s="92"/>
      <c r="AL217" s="92"/>
      <c r="AM217" s="92"/>
      <c r="AN217" s="92"/>
      <c r="AO217" s="92"/>
      <c r="AP217" s="92"/>
      <c r="AQ217" s="92"/>
      <c r="AR217" s="92"/>
      <c r="AS217" s="92"/>
      <c r="AT217" s="92"/>
      <c r="AU217" s="92"/>
      <c r="AV217" s="92"/>
      <c r="AW217" s="92"/>
      <c r="AX217" s="92"/>
      <c r="AY217" s="92"/>
      <c r="AZ217" s="92"/>
      <c r="BA217" s="92"/>
      <c r="BB217" s="92"/>
      <c r="BC217" s="92"/>
      <c r="BD217" s="92"/>
      <c r="BE217" s="92"/>
      <c r="BF217" s="92"/>
      <c r="BG217" s="92"/>
      <c r="BH217" s="92"/>
    </row>
    <row r="218" spans="1:60">
      <c r="A218" s="92"/>
      <c r="J218" s="92"/>
      <c r="K218" s="92"/>
      <c r="L218" s="92"/>
      <c r="M218" s="92"/>
      <c r="N218" s="92"/>
      <c r="O218" s="92"/>
      <c r="P218" s="92"/>
      <c r="Q218" s="92"/>
      <c r="R218" s="92"/>
      <c r="S218" s="92"/>
      <c r="T218" s="92"/>
      <c r="U218" s="92"/>
      <c r="V218" s="92"/>
      <c r="W218" s="92"/>
      <c r="X218" s="92"/>
      <c r="Y218" s="92"/>
      <c r="Z218" s="92"/>
      <c r="AA218" s="92"/>
      <c r="AB218" s="92"/>
      <c r="AC218" s="92"/>
      <c r="AD218" s="92"/>
      <c r="AE218" s="92"/>
      <c r="AF218" s="92"/>
      <c r="AG218" s="92"/>
      <c r="AH218" s="92"/>
      <c r="AI218" s="92"/>
      <c r="AJ218" s="92"/>
      <c r="AK218" s="92"/>
      <c r="AL218" s="92"/>
      <c r="AM218" s="92"/>
      <c r="AN218" s="92"/>
      <c r="AO218" s="92"/>
      <c r="AP218" s="92"/>
      <c r="AQ218" s="92"/>
      <c r="AR218" s="92"/>
      <c r="AS218" s="92"/>
      <c r="AT218" s="92"/>
      <c r="AU218" s="92"/>
      <c r="AV218" s="92"/>
      <c r="AW218" s="92"/>
      <c r="AX218" s="92"/>
      <c r="AY218" s="92"/>
      <c r="AZ218" s="92"/>
      <c r="BA218" s="92"/>
      <c r="BB218" s="92"/>
      <c r="BC218" s="92"/>
      <c r="BD218" s="92"/>
      <c r="BE218" s="92"/>
      <c r="BF218" s="92"/>
      <c r="BG218" s="92"/>
      <c r="BH218" s="92"/>
    </row>
    <row r="219" spans="1:60">
      <c r="A219" s="92"/>
      <c r="J219" s="92"/>
      <c r="K219" s="92"/>
      <c r="L219" s="92"/>
      <c r="M219" s="92"/>
      <c r="N219" s="92"/>
      <c r="O219" s="92"/>
      <c r="P219" s="92"/>
      <c r="Q219" s="92"/>
      <c r="R219" s="92"/>
      <c r="S219" s="92"/>
      <c r="T219" s="92"/>
      <c r="U219" s="92"/>
      <c r="V219" s="92"/>
      <c r="W219" s="92"/>
      <c r="X219" s="92"/>
      <c r="Y219" s="92"/>
      <c r="Z219" s="92"/>
      <c r="AA219" s="92"/>
      <c r="AB219" s="92"/>
      <c r="AC219" s="92"/>
      <c r="AD219" s="92"/>
      <c r="AE219" s="92"/>
      <c r="AF219" s="92"/>
      <c r="AG219" s="92"/>
      <c r="AH219" s="92"/>
      <c r="AI219" s="92"/>
      <c r="AJ219" s="92"/>
      <c r="AK219" s="92"/>
      <c r="AL219" s="92"/>
      <c r="AM219" s="92"/>
      <c r="AN219" s="92"/>
      <c r="AO219" s="92"/>
      <c r="AP219" s="92"/>
      <c r="AQ219" s="92"/>
      <c r="AR219" s="92"/>
      <c r="AS219" s="92"/>
      <c r="AT219" s="92"/>
      <c r="AU219" s="92"/>
      <c r="AV219" s="92"/>
      <c r="AW219" s="92"/>
      <c r="AX219" s="92"/>
      <c r="AY219" s="92"/>
      <c r="AZ219" s="92"/>
      <c r="BA219" s="92"/>
      <c r="BB219" s="92"/>
      <c r="BC219" s="92"/>
      <c r="BD219" s="92"/>
      <c r="BE219" s="92"/>
      <c r="BF219" s="92"/>
      <c r="BG219" s="92"/>
      <c r="BH219" s="92"/>
    </row>
    <row r="220" spans="1:60">
      <c r="A220" s="92"/>
      <c r="J220" s="92"/>
      <c r="K220" s="92"/>
      <c r="L220" s="92"/>
      <c r="M220" s="92"/>
      <c r="N220" s="92"/>
      <c r="O220" s="92"/>
      <c r="P220" s="92"/>
      <c r="Q220" s="92"/>
      <c r="R220" s="92"/>
      <c r="S220" s="92"/>
      <c r="T220" s="92"/>
      <c r="U220" s="92"/>
      <c r="V220" s="92"/>
      <c r="W220" s="92"/>
      <c r="X220" s="92"/>
      <c r="Y220" s="92"/>
      <c r="Z220" s="92"/>
      <c r="AA220" s="92"/>
      <c r="AB220" s="92"/>
      <c r="AC220" s="92"/>
      <c r="AD220" s="92"/>
      <c r="AE220" s="92"/>
      <c r="AF220" s="92"/>
      <c r="AG220" s="92"/>
      <c r="AH220" s="92"/>
      <c r="AI220" s="92"/>
      <c r="AJ220" s="92"/>
      <c r="AK220" s="92"/>
      <c r="AL220" s="92"/>
      <c r="AM220" s="92"/>
      <c r="AN220" s="92"/>
      <c r="AO220" s="92"/>
      <c r="AP220" s="92"/>
      <c r="AQ220" s="92"/>
      <c r="AR220" s="92"/>
      <c r="AS220" s="92"/>
      <c r="AT220" s="92"/>
      <c r="AU220" s="92"/>
      <c r="AV220" s="92"/>
      <c r="AW220" s="92"/>
      <c r="AX220" s="92"/>
      <c r="AY220" s="92"/>
      <c r="AZ220" s="92"/>
      <c r="BA220" s="92"/>
      <c r="BB220" s="92"/>
      <c r="BC220" s="92"/>
      <c r="BD220" s="92"/>
      <c r="BE220" s="92"/>
      <c r="BF220" s="92"/>
      <c r="BG220" s="92"/>
      <c r="BH220" s="92"/>
    </row>
    <row r="221" spans="1:60">
      <c r="A221" s="92"/>
      <c r="J221" s="92"/>
      <c r="K221" s="92"/>
      <c r="L221" s="92"/>
      <c r="M221" s="92"/>
      <c r="N221" s="92"/>
      <c r="O221" s="92"/>
      <c r="P221" s="92"/>
      <c r="Q221" s="92"/>
      <c r="R221" s="92"/>
      <c r="S221" s="92"/>
      <c r="T221" s="92"/>
      <c r="U221" s="92"/>
      <c r="V221" s="92"/>
      <c r="W221" s="92"/>
      <c r="X221" s="92"/>
      <c r="Y221" s="92"/>
      <c r="Z221" s="92"/>
      <c r="AA221" s="92"/>
      <c r="AB221" s="92"/>
      <c r="AC221" s="92"/>
      <c r="AD221" s="92"/>
      <c r="AE221" s="92"/>
      <c r="AF221" s="92"/>
      <c r="AG221" s="92"/>
      <c r="AH221" s="92"/>
      <c r="AI221" s="92"/>
      <c r="AJ221" s="92"/>
      <c r="AK221" s="92"/>
      <c r="AL221" s="92"/>
      <c r="AM221" s="92"/>
      <c r="AN221" s="92"/>
      <c r="AO221" s="92"/>
      <c r="AP221" s="92"/>
      <c r="AQ221" s="92"/>
      <c r="AR221" s="92"/>
      <c r="AS221" s="92"/>
      <c r="AT221" s="92"/>
      <c r="AU221" s="92"/>
      <c r="AV221" s="92"/>
      <c r="AW221" s="92"/>
      <c r="AX221" s="92"/>
      <c r="AY221" s="92"/>
      <c r="AZ221" s="92"/>
      <c r="BA221" s="92"/>
      <c r="BB221" s="92"/>
      <c r="BC221" s="92"/>
      <c r="BD221" s="92"/>
      <c r="BE221" s="92"/>
      <c r="BF221" s="92"/>
      <c r="BG221" s="92"/>
      <c r="BH221" s="92"/>
    </row>
    <row r="222" spans="1:60">
      <c r="A222" s="92"/>
      <c r="J222" s="92"/>
      <c r="K222" s="92"/>
      <c r="L222" s="92"/>
      <c r="M222" s="92"/>
      <c r="N222" s="92"/>
      <c r="O222" s="92"/>
      <c r="P222" s="92"/>
      <c r="Q222" s="92"/>
      <c r="R222" s="92"/>
      <c r="S222" s="92"/>
      <c r="T222" s="92"/>
      <c r="U222" s="92"/>
      <c r="V222" s="92"/>
      <c r="W222" s="92"/>
      <c r="X222" s="92"/>
      <c r="Y222" s="92"/>
      <c r="Z222" s="92"/>
      <c r="AA222" s="92"/>
      <c r="AB222" s="92"/>
      <c r="AC222" s="92"/>
      <c r="AD222" s="92"/>
      <c r="AE222" s="92"/>
      <c r="AF222" s="92"/>
      <c r="AG222" s="92"/>
      <c r="AH222" s="92"/>
      <c r="AI222" s="92"/>
      <c r="AJ222" s="92"/>
      <c r="AK222" s="92"/>
      <c r="AL222" s="92"/>
      <c r="AM222" s="92"/>
      <c r="AN222" s="92"/>
      <c r="AO222" s="92"/>
      <c r="AP222" s="92"/>
      <c r="AQ222" s="92"/>
      <c r="AR222" s="92"/>
      <c r="AS222" s="92"/>
      <c r="AT222" s="92"/>
      <c r="AU222" s="92"/>
      <c r="AV222" s="92"/>
      <c r="AW222" s="92"/>
      <c r="AX222" s="92"/>
      <c r="AY222" s="92"/>
      <c r="AZ222" s="92"/>
      <c r="BA222" s="92"/>
      <c r="BB222" s="92"/>
      <c r="BC222" s="92"/>
      <c r="BD222" s="92"/>
      <c r="BE222" s="92"/>
      <c r="BF222" s="92"/>
      <c r="BG222" s="92"/>
      <c r="BH222" s="92"/>
    </row>
    <row r="223" spans="1:60">
      <c r="A223" s="92"/>
      <c r="J223" s="92"/>
      <c r="K223" s="92"/>
      <c r="L223" s="92"/>
      <c r="M223" s="92"/>
      <c r="N223" s="92"/>
      <c r="O223" s="92"/>
      <c r="P223" s="92"/>
      <c r="Q223" s="92"/>
      <c r="R223" s="92"/>
      <c r="S223" s="92"/>
      <c r="T223" s="92"/>
      <c r="U223" s="92"/>
      <c r="V223" s="92"/>
      <c r="W223" s="92"/>
      <c r="X223" s="92"/>
      <c r="Y223" s="92"/>
      <c r="Z223" s="92"/>
      <c r="AA223" s="92"/>
      <c r="AB223" s="92"/>
      <c r="AC223" s="92"/>
      <c r="AD223" s="92"/>
      <c r="AE223" s="92"/>
      <c r="AF223" s="92"/>
      <c r="AG223" s="92"/>
      <c r="AH223" s="92"/>
      <c r="AI223" s="92"/>
      <c r="AJ223" s="92"/>
      <c r="AK223" s="92"/>
      <c r="AL223" s="92"/>
      <c r="AM223" s="92"/>
      <c r="AN223" s="92"/>
      <c r="AO223" s="92"/>
      <c r="AP223" s="92"/>
      <c r="AQ223" s="92"/>
      <c r="AR223" s="92"/>
      <c r="AS223" s="92"/>
      <c r="AT223" s="92"/>
      <c r="AU223" s="92"/>
      <c r="AV223" s="92"/>
      <c r="AW223" s="92"/>
      <c r="AX223" s="92"/>
      <c r="AY223" s="92"/>
      <c r="AZ223" s="92"/>
      <c r="BA223" s="92"/>
      <c r="BB223" s="92"/>
      <c r="BC223" s="92"/>
      <c r="BD223" s="92"/>
      <c r="BE223" s="92"/>
      <c r="BF223" s="92"/>
      <c r="BG223" s="92"/>
      <c r="BH223" s="92"/>
    </row>
    <row r="224" spans="1:60">
      <c r="A224" s="92"/>
      <c r="J224" s="92"/>
      <c r="K224" s="92"/>
      <c r="L224" s="92"/>
      <c r="M224" s="92"/>
      <c r="N224" s="92"/>
      <c r="O224" s="92"/>
      <c r="P224" s="92"/>
      <c r="Q224" s="92"/>
      <c r="R224" s="92"/>
      <c r="S224" s="92"/>
      <c r="T224" s="92"/>
      <c r="U224" s="92"/>
      <c r="V224" s="92"/>
      <c r="W224" s="92"/>
      <c r="X224" s="92"/>
      <c r="Y224" s="92"/>
      <c r="Z224" s="92"/>
      <c r="AA224" s="92"/>
      <c r="AB224" s="92"/>
      <c r="AC224" s="92"/>
      <c r="AD224" s="92"/>
      <c r="AE224" s="92"/>
      <c r="AF224" s="92"/>
      <c r="AG224" s="92"/>
      <c r="AH224" s="92"/>
      <c r="AI224" s="92"/>
      <c r="AJ224" s="92"/>
      <c r="AK224" s="92"/>
      <c r="AL224" s="92"/>
      <c r="AM224" s="92"/>
      <c r="AN224" s="92"/>
      <c r="AO224" s="92"/>
      <c r="AP224" s="92"/>
      <c r="AQ224" s="92"/>
      <c r="AR224" s="92"/>
      <c r="AS224" s="92"/>
      <c r="AT224" s="92"/>
      <c r="AU224" s="92"/>
      <c r="AV224" s="92"/>
      <c r="AW224" s="92"/>
      <c r="AX224" s="92"/>
      <c r="AY224" s="92"/>
      <c r="AZ224" s="92"/>
      <c r="BA224" s="92"/>
      <c r="BB224" s="92"/>
      <c r="BC224" s="92"/>
      <c r="BD224" s="92"/>
      <c r="BE224" s="92"/>
      <c r="BF224" s="92"/>
      <c r="BG224" s="92"/>
      <c r="BH224" s="92"/>
    </row>
    <row r="225" spans="1:60">
      <c r="A225" s="92"/>
      <c r="J225" s="92"/>
      <c r="K225" s="92"/>
      <c r="L225" s="92"/>
      <c r="M225" s="92"/>
      <c r="N225" s="92"/>
      <c r="O225" s="92"/>
      <c r="P225" s="92"/>
      <c r="Q225" s="92"/>
      <c r="R225" s="92"/>
      <c r="S225" s="92"/>
      <c r="T225" s="92"/>
      <c r="U225" s="92"/>
      <c r="V225" s="92"/>
      <c r="W225" s="92"/>
      <c r="X225" s="92"/>
      <c r="Y225" s="92"/>
      <c r="Z225" s="92"/>
      <c r="AA225" s="92"/>
      <c r="AB225" s="92"/>
      <c r="AC225" s="92"/>
      <c r="AD225" s="92"/>
      <c r="AE225" s="92"/>
      <c r="AF225" s="92"/>
      <c r="AG225" s="92"/>
      <c r="AH225" s="92"/>
      <c r="AI225" s="92"/>
      <c r="AJ225" s="92"/>
      <c r="AK225" s="92"/>
      <c r="AL225" s="92"/>
      <c r="AM225" s="92"/>
      <c r="AN225" s="92"/>
      <c r="AO225" s="92"/>
      <c r="AP225" s="92"/>
      <c r="AQ225" s="92"/>
      <c r="AR225" s="92"/>
      <c r="AS225" s="92"/>
      <c r="AT225" s="92"/>
      <c r="AU225" s="92"/>
      <c r="AV225" s="92"/>
      <c r="AW225" s="92"/>
      <c r="AX225" s="92"/>
      <c r="AY225" s="92"/>
      <c r="AZ225" s="92"/>
      <c r="BA225" s="92"/>
      <c r="BB225" s="92"/>
      <c r="BC225" s="92"/>
      <c r="BD225" s="92"/>
      <c r="BE225" s="92"/>
      <c r="BF225" s="92"/>
      <c r="BG225" s="92"/>
      <c r="BH225" s="92"/>
    </row>
    <row r="226" spans="1:60">
      <c r="A226" s="92"/>
      <c r="J226" s="92"/>
      <c r="K226" s="92"/>
      <c r="L226" s="92"/>
      <c r="M226" s="92"/>
      <c r="N226" s="92"/>
      <c r="O226" s="92"/>
      <c r="P226" s="92"/>
      <c r="Q226" s="92"/>
      <c r="R226" s="92"/>
      <c r="S226" s="92"/>
      <c r="T226" s="92"/>
      <c r="U226" s="92"/>
      <c r="V226" s="92"/>
      <c r="W226" s="92"/>
      <c r="X226" s="92"/>
      <c r="Y226" s="92"/>
      <c r="Z226" s="92"/>
      <c r="AA226" s="92"/>
      <c r="AB226" s="92"/>
      <c r="AC226" s="92"/>
      <c r="AD226" s="92"/>
      <c r="AE226" s="92"/>
      <c r="AF226" s="92"/>
      <c r="AG226" s="92"/>
      <c r="AH226" s="92"/>
      <c r="AI226" s="92"/>
      <c r="AJ226" s="92"/>
      <c r="AK226" s="92"/>
      <c r="AL226" s="92"/>
      <c r="AM226" s="92"/>
      <c r="AN226" s="92"/>
      <c r="AO226" s="92"/>
      <c r="AP226" s="92"/>
      <c r="AQ226" s="92"/>
      <c r="AR226" s="92"/>
      <c r="AS226" s="92"/>
      <c r="AT226" s="92"/>
      <c r="AU226" s="92"/>
      <c r="AV226" s="92"/>
      <c r="AW226" s="92"/>
      <c r="AX226" s="92"/>
      <c r="AY226" s="92"/>
      <c r="AZ226" s="92"/>
      <c r="BA226" s="92"/>
      <c r="BB226" s="92"/>
      <c r="BC226" s="92"/>
      <c r="BD226" s="92"/>
      <c r="BE226" s="92"/>
      <c r="BF226" s="92"/>
      <c r="BG226" s="92"/>
      <c r="BH226" s="92"/>
    </row>
    <row r="227" spans="1:60">
      <c r="A227" s="92"/>
      <c r="J227" s="92"/>
      <c r="K227" s="92"/>
      <c r="L227" s="92"/>
      <c r="M227" s="92"/>
      <c r="N227" s="92"/>
      <c r="O227" s="92"/>
      <c r="P227" s="92"/>
      <c r="Q227" s="92"/>
      <c r="R227" s="92"/>
      <c r="S227" s="92"/>
      <c r="T227" s="92"/>
      <c r="U227" s="92"/>
      <c r="V227" s="92"/>
      <c r="W227" s="92"/>
      <c r="X227" s="92"/>
      <c r="Y227" s="92"/>
      <c r="Z227" s="92"/>
      <c r="AA227" s="92"/>
      <c r="AB227" s="92"/>
      <c r="AC227" s="92"/>
      <c r="AD227" s="92"/>
      <c r="AE227" s="92"/>
      <c r="AF227" s="92"/>
      <c r="AG227" s="92"/>
      <c r="AH227" s="92"/>
      <c r="AI227" s="92"/>
      <c r="AJ227" s="92"/>
      <c r="AK227" s="92"/>
      <c r="AL227" s="92"/>
      <c r="AM227" s="92"/>
      <c r="AN227" s="92"/>
      <c r="AO227" s="92"/>
      <c r="AP227" s="92"/>
      <c r="AQ227" s="92"/>
      <c r="AR227" s="92"/>
      <c r="AS227" s="92"/>
      <c r="AT227" s="92"/>
      <c r="AU227" s="92"/>
      <c r="AV227" s="92"/>
      <c r="AW227" s="92"/>
      <c r="AX227" s="92"/>
      <c r="AY227" s="92"/>
      <c r="AZ227" s="92"/>
      <c r="BA227" s="92"/>
      <c r="BB227" s="92"/>
      <c r="BC227" s="92"/>
      <c r="BD227" s="92"/>
      <c r="BE227" s="92"/>
      <c r="BF227" s="92"/>
      <c r="BG227" s="92"/>
      <c r="BH227" s="92"/>
    </row>
    <row r="228" spans="1:60">
      <c r="A228" s="92"/>
      <c r="J228" s="92"/>
      <c r="K228" s="92"/>
      <c r="L228" s="92"/>
      <c r="M228" s="92"/>
      <c r="N228" s="92"/>
      <c r="O228" s="92"/>
      <c r="P228" s="92"/>
      <c r="Q228" s="92"/>
      <c r="R228" s="92"/>
      <c r="S228" s="92"/>
      <c r="T228" s="92"/>
      <c r="U228" s="92"/>
      <c r="V228" s="92"/>
      <c r="W228" s="92"/>
      <c r="X228" s="92"/>
      <c r="Y228" s="92"/>
      <c r="Z228" s="92"/>
      <c r="AA228" s="92"/>
      <c r="AB228" s="92"/>
      <c r="AC228" s="92"/>
      <c r="AD228" s="92"/>
      <c r="AE228" s="92"/>
      <c r="AF228" s="92"/>
      <c r="AG228" s="92"/>
      <c r="AH228" s="92"/>
      <c r="AI228" s="92"/>
      <c r="AJ228" s="92"/>
      <c r="AK228" s="92"/>
      <c r="AL228" s="92"/>
      <c r="AM228" s="92"/>
      <c r="AN228" s="92"/>
      <c r="AO228" s="92"/>
      <c r="AP228" s="92"/>
      <c r="AQ228" s="92"/>
      <c r="AR228" s="92"/>
      <c r="AS228" s="92"/>
      <c r="AT228" s="92"/>
      <c r="AU228" s="92"/>
      <c r="AV228" s="92"/>
      <c r="AW228" s="92"/>
      <c r="AX228" s="92"/>
      <c r="AY228" s="92"/>
      <c r="AZ228" s="92"/>
      <c r="BA228" s="92"/>
      <c r="BB228" s="92"/>
      <c r="BC228" s="92"/>
      <c r="BD228" s="92"/>
      <c r="BE228" s="92"/>
      <c r="BF228" s="92"/>
      <c r="BG228" s="92"/>
      <c r="BH228" s="92"/>
    </row>
    <row r="229" spans="1:60">
      <c r="A229" s="92"/>
      <c r="J229" s="92"/>
      <c r="K229" s="92"/>
      <c r="L229" s="92"/>
      <c r="M229" s="92"/>
      <c r="N229" s="92"/>
      <c r="O229" s="92"/>
      <c r="P229" s="92"/>
      <c r="Q229" s="92"/>
      <c r="R229" s="92"/>
      <c r="S229" s="92"/>
      <c r="T229" s="92"/>
      <c r="U229" s="92"/>
      <c r="V229" s="92"/>
      <c r="W229" s="92"/>
      <c r="X229" s="92"/>
      <c r="Y229" s="92"/>
      <c r="Z229" s="92"/>
      <c r="AA229" s="92"/>
      <c r="AB229" s="92"/>
      <c r="AC229" s="92"/>
      <c r="AD229" s="92"/>
      <c r="AE229" s="92"/>
      <c r="AF229" s="92"/>
      <c r="AG229" s="92"/>
      <c r="AH229" s="92"/>
      <c r="AI229" s="92"/>
      <c r="AJ229" s="92"/>
      <c r="AK229" s="92"/>
      <c r="AL229" s="92"/>
      <c r="AM229" s="92"/>
      <c r="AN229" s="92"/>
      <c r="AO229" s="92"/>
      <c r="AP229" s="92"/>
      <c r="AQ229" s="92"/>
      <c r="AR229" s="92"/>
      <c r="AS229" s="92"/>
      <c r="AT229" s="92"/>
      <c r="AU229" s="92"/>
      <c r="AV229" s="92"/>
      <c r="AW229" s="92"/>
      <c r="AX229" s="92"/>
      <c r="AY229" s="92"/>
      <c r="AZ229" s="92"/>
      <c r="BA229" s="92"/>
      <c r="BB229" s="92"/>
      <c r="BC229" s="92"/>
      <c r="BD229" s="92"/>
      <c r="BE229" s="92"/>
      <c r="BF229" s="92"/>
      <c r="BG229" s="92"/>
      <c r="BH229" s="92"/>
    </row>
    <row r="230" spans="1:60">
      <c r="A230" s="92"/>
      <c r="J230" s="92"/>
      <c r="K230" s="92"/>
      <c r="L230" s="92"/>
      <c r="M230" s="92"/>
      <c r="N230" s="92"/>
      <c r="O230" s="92"/>
      <c r="P230" s="92"/>
      <c r="Q230" s="92"/>
      <c r="R230" s="92"/>
      <c r="S230" s="92"/>
      <c r="T230" s="92"/>
      <c r="U230" s="92"/>
      <c r="V230" s="92"/>
      <c r="W230" s="92"/>
      <c r="X230" s="92"/>
      <c r="Y230" s="92"/>
      <c r="Z230" s="92"/>
      <c r="AA230" s="92"/>
      <c r="AB230" s="92"/>
      <c r="AC230" s="92"/>
      <c r="AD230" s="92"/>
      <c r="AE230" s="92"/>
      <c r="AF230" s="92"/>
      <c r="AG230" s="92"/>
      <c r="AH230" s="92"/>
      <c r="AI230" s="92"/>
      <c r="AJ230" s="92"/>
      <c r="AK230" s="92"/>
      <c r="AL230" s="92"/>
      <c r="AM230" s="92"/>
      <c r="AN230" s="92"/>
      <c r="AO230" s="92"/>
      <c r="AP230" s="92"/>
      <c r="AQ230" s="92"/>
      <c r="AR230" s="92"/>
      <c r="AS230" s="92"/>
      <c r="AT230" s="92"/>
      <c r="AU230" s="92"/>
      <c r="AV230" s="92"/>
      <c r="AW230" s="92"/>
      <c r="AX230" s="92"/>
      <c r="AY230" s="92"/>
      <c r="AZ230" s="92"/>
      <c r="BA230" s="92"/>
      <c r="BB230" s="92"/>
      <c r="BC230" s="92"/>
      <c r="BD230" s="92"/>
      <c r="BE230" s="92"/>
      <c r="BF230" s="92"/>
      <c r="BG230" s="92"/>
      <c r="BH230" s="92"/>
    </row>
    <row r="231" spans="1:60">
      <c r="A231" s="92"/>
      <c r="J231" s="92"/>
      <c r="K231" s="92"/>
      <c r="L231" s="92"/>
      <c r="M231" s="92"/>
      <c r="N231" s="92"/>
      <c r="O231" s="92"/>
      <c r="P231" s="92"/>
      <c r="Q231" s="92"/>
      <c r="R231" s="92"/>
      <c r="S231" s="92"/>
      <c r="T231" s="92"/>
      <c r="U231" s="92"/>
      <c r="V231" s="92"/>
      <c r="W231" s="92"/>
      <c r="X231" s="92"/>
      <c r="Y231" s="92"/>
      <c r="Z231" s="92"/>
      <c r="AA231" s="92"/>
      <c r="AB231" s="92"/>
      <c r="AC231" s="92"/>
      <c r="AD231" s="92"/>
      <c r="AE231" s="92"/>
      <c r="AF231" s="92"/>
      <c r="AG231" s="92"/>
      <c r="AH231" s="92"/>
      <c r="AI231" s="92"/>
      <c r="AJ231" s="92"/>
      <c r="AK231" s="92"/>
      <c r="AL231" s="92"/>
      <c r="AM231" s="92"/>
      <c r="AN231" s="92"/>
      <c r="AO231" s="92"/>
      <c r="AP231" s="92"/>
      <c r="AQ231" s="92"/>
      <c r="AR231" s="92"/>
      <c r="AS231" s="92"/>
      <c r="AT231" s="92"/>
      <c r="AU231" s="92"/>
      <c r="AV231" s="92"/>
      <c r="AW231" s="92"/>
      <c r="AX231" s="92"/>
      <c r="AY231" s="92"/>
      <c r="AZ231" s="92"/>
      <c r="BA231" s="92"/>
      <c r="BB231" s="92"/>
      <c r="BC231" s="92"/>
      <c r="BD231" s="92"/>
      <c r="BE231" s="92"/>
      <c r="BF231" s="92"/>
      <c r="BG231" s="92"/>
      <c r="BH231" s="92"/>
    </row>
    <row r="232" spans="1:60">
      <c r="A232" s="92"/>
      <c r="J232" s="92"/>
      <c r="K232" s="92"/>
      <c r="L232" s="92"/>
      <c r="M232" s="92"/>
      <c r="N232" s="92"/>
      <c r="O232" s="92"/>
      <c r="P232" s="92"/>
      <c r="Q232" s="92"/>
      <c r="R232" s="92"/>
      <c r="S232" s="92"/>
      <c r="T232" s="92"/>
      <c r="U232" s="92"/>
      <c r="V232" s="92"/>
      <c r="W232" s="92"/>
      <c r="X232" s="92"/>
      <c r="Y232" s="92"/>
      <c r="Z232" s="92"/>
      <c r="AA232" s="92"/>
      <c r="AB232" s="92"/>
      <c r="AC232" s="92"/>
      <c r="AD232" s="92"/>
      <c r="AE232" s="92"/>
      <c r="AF232" s="92"/>
      <c r="AG232" s="92"/>
      <c r="AH232" s="92"/>
      <c r="AI232" s="92"/>
      <c r="AJ232" s="92"/>
      <c r="AK232" s="92"/>
      <c r="AL232" s="92"/>
      <c r="AM232" s="92"/>
      <c r="AN232" s="92"/>
      <c r="AO232" s="92"/>
      <c r="AP232" s="92"/>
      <c r="AQ232" s="92"/>
      <c r="AR232" s="92"/>
      <c r="AS232" s="92"/>
      <c r="AT232" s="92"/>
      <c r="AU232" s="92"/>
      <c r="AV232" s="92"/>
      <c r="AW232" s="92"/>
      <c r="AX232" s="92"/>
      <c r="AY232" s="92"/>
      <c r="AZ232" s="92"/>
      <c r="BA232" s="92"/>
      <c r="BB232" s="92"/>
      <c r="BC232" s="92"/>
      <c r="BD232" s="92"/>
      <c r="BE232" s="92"/>
      <c r="BF232" s="92"/>
      <c r="BG232" s="92"/>
      <c r="BH232" s="92"/>
    </row>
    <row r="233" spans="1:60">
      <c r="A233" s="92"/>
      <c r="J233" s="92"/>
      <c r="K233" s="92"/>
      <c r="L233" s="92"/>
      <c r="M233" s="92"/>
      <c r="N233" s="92"/>
      <c r="O233" s="92"/>
      <c r="P233" s="92"/>
      <c r="Q233" s="92"/>
      <c r="R233" s="92"/>
      <c r="S233" s="92"/>
      <c r="T233" s="92"/>
      <c r="U233" s="92"/>
      <c r="V233" s="92"/>
      <c r="W233" s="92"/>
      <c r="X233" s="92"/>
      <c r="Y233" s="92"/>
      <c r="Z233" s="92"/>
      <c r="AA233" s="92"/>
      <c r="AB233" s="92"/>
      <c r="AC233" s="92"/>
      <c r="AD233" s="92"/>
      <c r="AE233" s="92"/>
      <c r="AF233" s="92"/>
      <c r="AG233" s="92"/>
      <c r="AH233" s="92"/>
      <c r="AI233" s="92"/>
      <c r="AJ233" s="92"/>
      <c r="AK233" s="92"/>
      <c r="AL233" s="92"/>
      <c r="AM233" s="92"/>
      <c r="AN233" s="92"/>
      <c r="AO233" s="92"/>
      <c r="AP233" s="92"/>
      <c r="AQ233" s="92"/>
      <c r="AR233" s="92"/>
      <c r="AS233" s="92"/>
      <c r="AT233" s="92"/>
      <c r="AU233" s="92"/>
      <c r="AV233" s="92"/>
      <c r="AW233" s="92"/>
      <c r="AX233" s="92"/>
      <c r="AY233" s="92"/>
      <c r="AZ233" s="92"/>
      <c r="BA233" s="92"/>
      <c r="BB233" s="92"/>
      <c r="BC233" s="92"/>
      <c r="BD233" s="92"/>
      <c r="BE233" s="92"/>
      <c r="BF233" s="92"/>
      <c r="BG233" s="92"/>
      <c r="BH233" s="92"/>
    </row>
    <row r="234" spans="1:60">
      <c r="A234" s="92"/>
      <c r="J234" s="92"/>
      <c r="K234" s="92"/>
      <c r="L234" s="92"/>
      <c r="M234" s="92"/>
      <c r="N234" s="92"/>
      <c r="O234" s="92"/>
      <c r="P234" s="92"/>
      <c r="Q234" s="92"/>
      <c r="R234" s="92"/>
      <c r="S234" s="92"/>
      <c r="T234" s="92"/>
      <c r="U234" s="92"/>
      <c r="V234" s="92"/>
      <c r="W234" s="92"/>
      <c r="X234" s="92"/>
      <c r="Y234" s="92"/>
      <c r="Z234" s="92"/>
      <c r="AA234" s="92"/>
      <c r="AB234" s="92"/>
      <c r="AC234" s="92"/>
      <c r="AD234" s="92"/>
      <c r="AE234" s="92"/>
      <c r="AF234" s="92"/>
      <c r="AG234" s="92"/>
      <c r="AH234" s="92"/>
      <c r="AI234" s="92"/>
      <c r="AJ234" s="92"/>
      <c r="AK234" s="92"/>
      <c r="AL234" s="92"/>
      <c r="AM234" s="92"/>
      <c r="AN234" s="92"/>
      <c r="AO234" s="92"/>
      <c r="AP234" s="92"/>
      <c r="AQ234" s="92"/>
      <c r="AR234" s="92"/>
      <c r="AS234" s="92"/>
      <c r="AT234" s="92"/>
      <c r="AU234" s="92"/>
      <c r="AV234" s="92"/>
      <c r="AW234" s="92"/>
      <c r="AX234" s="92"/>
      <c r="AY234" s="92"/>
      <c r="AZ234" s="92"/>
      <c r="BA234" s="92"/>
      <c r="BB234" s="92"/>
      <c r="BC234" s="92"/>
      <c r="BD234" s="92"/>
      <c r="BE234" s="92"/>
      <c r="BF234" s="92"/>
      <c r="BG234" s="92"/>
      <c r="BH234" s="92"/>
    </row>
    <row r="235" spans="1:60">
      <c r="A235" s="92"/>
      <c r="J235" s="92"/>
      <c r="K235" s="92"/>
      <c r="L235" s="92"/>
      <c r="M235" s="92"/>
      <c r="N235" s="92"/>
      <c r="O235" s="92"/>
      <c r="P235" s="92"/>
      <c r="Q235" s="92"/>
      <c r="R235" s="92"/>
      <c r="S235" s="92"/>
      <c r="T235" s="92"/>
      <c r="U235" s="92"/>
      <c r="V235" s="92"/>
      <c r="W235" s="92"/>
      <c r="X235" s="92"/>
      <c r="Y235" s="92"/>
      <c r="Z235" s="92"/>
      <c r="AA235" s="92"/>
      <c r="AB235" s="92"/>
      <c r="AC235" s="92"/>
      <c r="AD235" s="92"/>
      <c r="AE235" s="92"/>
      <c r="AF235" s="92"/>
      <c r="AG235" s="92"/>
      <c r="AH235" s="92"/>
      <c r="AI235" s="92"/>
      <c r="AJ235" s="92"/>
      <c r="AK235" s="92"/>
      <c r="AL235" s="92"/>
      <c r="AM235" s="92"/>
      <c r="AN235" s="92"/>
      <c r="AO235" s="92"/>
      <c r="AP235" s="92"/>
      <c r="AQ235" s="92"/>
      <c r="AR235" s="92"/>
      <c r="AS235" s="92"/>
      <c r="AT235" s="92"/>
      <c r="AU235" s="92"/>
      <c r="AV235" s="92"/>
      <c r="AW235" s="92"/>
      <c r="AX235" s="92"/>
      <c r="AY235" s="92"/>
      <c r="AZ235" s="92"/>
      <c r="BA235" s="92"/>
      <c r="BB235" s="92"/>
      <c r="BC235" s="92"/>
      <c r="BD235" s="92"/>
      <c r="BE235" s="92"/>
      <c r="BF235" s="92"/>
      <c r="BG235" s="92"/>
      <c r="BH235" s="92"/>
    </row>
    <row r="236" spans="1:60">
      <c r="A236" s="92"/>
      <c r="J236" s="92"/>
      <c r="K236" s="92"/>
      <c r="L236" s="92"/>
      <c r="M236" s="92"/>
      <c r="N236" s="92"/>
      <c r="O236" s="92"/>
      <c r="P236" s="92"/>
      <c r="Q236" s="92"/>
      <c r="R236" s="92"/>
      <c r="S236" s="92"/>
      <c r="T236" s="92"/>
      <c r="U236" s="92"/>
      <c r="V236" s="92"/>
      <c r="W236" s="92"/>
      <c r="X236" s="92"/>
      <c r="Y236" s="92"/>
      <c r="Z236" s="92"/>
      <c r="AA236" s="92"/>
      <c r="AB236" s="92"/>
      <c r="AC236" s="92"/>
      <c r="AD236" s="92"/>
      <c r="AE236" s="92"/>
      <c r="AF236" s="92"/>
      <c r="AG236" s="92"/>
      <c r="AH236" s="92"/>
      <c r="AI236" s="92"/>
      <c r="AJ236" s="92"/>
      <c r="AK236" s="92"/>
      <c r="AL236" s="92"/>
      <c r="AM236" s="92"/>
      <c r="AN236" s="92"/>
      <c r="AO236" s="92"/>
      <c r="AP236" s="92"/>
      <c r="AQ236" s="92"/>
      <c r="AR236" s="92"/>
      <c r="AS236" s="92"/>
      <c r="AT236" s="92"/>
      <c r="AU236" s="92"/>
      <c r="AV236" s="92"/>
      <c r="AW236" s="92"/>
      <c r="AX236" s="92"/>
      <c r="AY236" s="92"/>
      <c r="AZ236" s="92"/>
      <c r="BA236" s="92"/>
      <c r="BB236" s="92"/>
      <c r="BC236" s="92"/>
      <c r="BD236" s="92"/>
      <c r="BE236" s="92"/>
      <c r="BF236" s="92"/>
      <c r="BG236" s="92"/>
      <c r="BH236" s="92"/>
    </row>
    <row r="237" spans="1:60">
      <c r="A237" s="92"/>
      <c r="J237" s="92"/>
      <c r="K237" s="92"/>
      <c r="L237" s="92"/>
      <c r="M237" s="92"/>
      <c r="N237" s="92"/>
      <c r="O237" s="92"/>
      <c r="P237" s="92"/>
      <c r="Q237" s="92"/>
      <c r="R237" s="92"/>
      <c r="S237" s="92"/>
      <c r="T237" s="92"/>
      <c r="U237" s="92"/>
      <c r="V237" s="92"/>
      <c r="W237" s="92"/>
      <c r="X237" s="92"/>
      <c r="Y237" s="92"/>
      <c r="Z237" s="92"/>
      <c r="AA237" s="92"/>
      <c r="AB237" s="92"/>
      <c r="AC237" s="92"/>
      <c r="AD237" s="92"/>
      <c r="AE237" s="92"/>
      <c r="AF237" s="92"/>
      <c r="AG237" s="92"/>
      <c r="AH237" s="92"/>
      <c r="AI237" s="92"/>
      <c r="AJ237" s="92"/>
      <c r="AK237" s="92"/>
      <c r="AL237" s="92"/>
      <c r="AM237" s="92"/>
      <c r="AN237" s="92"/>
      <c r="AO237" s="92"/>
      <c r="AP237" s="92"/>
      <c r="AQ237" s="92"/>
      <c r="AR237" s="92"/>
      <c r="AS237" s="92"/>
      <c r="AT237" s="92"/>
      <c r="AU237" s="92"/>
      <c r="AV237" s="92"/>
      <c r="AW237" s="92"/>
      <c r="AX237" s="92"/>
      <c r="AY237" s="92"/>
      <c r="AZ237" s="92"/>
      <c r="BA237" s="92"/>
      <c r="BB237" s="92"/>
      <c r="BC237" s="92"/>
      <c r="BD237" s="92"/>
      <c r="BE237" s="92"/>
      <c r="BF237" s="92"/>
      <c r="BG237" s="92"/>
      <c r="BH237" s="92"/>
    </row>
    <row r="238" spans="1:60">
      <c r="A238" s="92"/>
      <c r="J238" s="92"/>
      <c r="K238" s="92"/>
      <c r="L238" s="92"/>
      <c r="M238" s="92"/>
      <c r="N238" s="92"/>
      <c r="O238" s="92"/>
      <c r="P238" s="92"/>
      <c r="Q238" s="92"/>
      <c r="R238" s="92"/>
      <c r="S238" s="92"/>
      <c r="T238" s="92"/>
      <c r="U238" s="92"/>
      <c r="V238" s="92"/>
      <c r="W238" s="92"/>
      <c r="X238" s="92"/>
      <c r="Y238" s="92"/>
      <c r="Z238" s="92"/>
      <c r="AA238" s="92"/>
      <c r="AB238" s="92"/>
      <c r="AC238" s="92"/>
      <c r="AD238" s="92"/>
      <c r="AE238" s="92"/>
      <c r="AF238" s="92"/>
      <c r="AG238" s="92"/>
      <c r="AH238" s="92"/>
      <c r="AI238" s="92"/>
      <c r="AJ238" s="92"/>
      <c r="AK238" s="92"/>
      <c r="AL238" s="92"/>
      <c r="AM238" s="92"/>
      <c r="AN238" s="92"/>
      <c r="AO238" s="92"/>
      <c r="AP238" s="92"/>
      <c r="AQ238" s="92"/>
      <c r="AR238" s="92"/>
      <c r="AS238" s="92"/>
      <c r="AT238" s="92"/>
      <c r="AU238" s="92"/>
      <c r="AV238" s="92"/>
      <c r="AW238" s="92"/>
      <c r="AX238" s="92"/>
      <c r="AY238" s="92"/>
      <c r="AZ238" s="92"/>
      <c r="BA238" s="92"/>
      <c r="BB238" s="92"/>
      <c r="BC238" s="92"/>
      <c r="BD238" s="92"/>
      <c r="BE238" s="92"/>
      <c r="BF238" s="92"/>
      <c r="BG238" s="92"/>
      <c r="BH238" s="92"/>
    </row>
    <row r="239" spans="1:60">
      <c r="A239" s="92"/>
      <c r="J239" s="92"/>
      <c r="K239" s="92"/>
      <c r="L239" s="92"/>
      <c r="M239" s="92"/>
      <c r="N239" s="92"/>
      <c r="O239" s="92"/>
      <c r="P239" s="92"/>
      <c r="Q239" s="92"/>
      <c r="R239" s="92"/>
      <c r="S239" s="92"/>
      <c r="T239" s="92"/>
      <c r="U239" s="92"/>
      <c r="V239" s="92"/>
      <c r="W239" s="92"/>
      <c r="X239" s="92"/>
      <c r="Y239" s="92"/>
      <c r="Z239" s="92"/>
      <c r="AA239" s="92"/>
      <c r="AB239" s="92"/>
      <c r="AC239" s="92"/>
      <c r="AD239" s="92"/>
      <c r="AE239" s="92"/>
      <c r="AF239" s="92"/>
      <c r="AG239" s="92"/>
      <c r="AH239" s="92"/>
      <c r="AI239" s="92"/>
      <c r="AJ239" s="92"/>
      <c r="AK239" s="92"/>
      <c r="AL239" s="92"/>
      <c r="AM239" s="92"/>
      <c r="AN239" s="92"/>
      <c r="AO239" s="92"/>
      <c r="AP239" s="92"/>
      <c r="AQ239" s="92"/>
      <c r="AR239" s="92"/>
      <c r="AS239" s="92"/>
      <c r="AT239" s="92"/>
      <c r="AU239" s="92"/>
      <c r="AV239" s="92"/>
      <c r="AW239" s="92"/>
      <c r="AX239" s="92"/>
      <c r="AY239" s="92"/>
      <c r="AZ239" s="92"/>
      <c r="BA239" s="92"/>
      <c r="BB239" s="92"/>
      <c r="BC239" s="92"/>
      <c r="BD239" s="92"/>
      <c r="BE239" s="92"/>
      <c r="BF239" s="92"/>
      <c r="BG239" s="92"/>
      <c r="BH239" s="92"/>
    </row>
    <row r="240" spans="1:60">
      <c r="A240" s="92"/>
      <c r="J240" s="92"/>
      <c r="K240" s="92"/>
      <c r="L240" s="92"/>
      <c r="M240" s="92"/>
      <c r="N240" s="92"/>
      <c r="O240" s="92"/>
      <c r="P240" s="92"/>
      <c r="Q240" s="92"/>
      <c r="R240" s="92"/>
      <c r="S240" s="92"/>
      <c r="T240" s="92"/>
      <c r="U240" s="92"/>
      <c r="V240" s="92"/>
      <c r="W240" s="92"/>
      <c r="X240" s="92"/>
      <c r="Y240" s="92"/>
      <c r="Z240" s="92"/>
      <c r="AA240" s="92"/>
      <c r="AB240" s="92"/>
      <c r="AC240" s="92"/>
      <c r="AD240" s="92"/>
      <c r="AE240" s="92"/>
      <c r="AF240" s="92"/>
      <c r="AG240" s="92"/>
      <c r="AH240" s="92"/>
      <c r="AI240" s="92"/>
      <c r="AJ240" s="92"/>
      <c r="AK240" s="92"/>
      <c r="AL240" s="92"/>
      <c r="AM240" s="92"/>
      <c r="AN240" s="92"/>
      <c r="AO240" s="92"/>
      <c r="AP240" s="92"/>
      <c r="AQ240" s="92"/>
      <c r="AR240" s="92"/>
      <c r="AS240" s="92"/>
      <c r="AT240" s="92"/>
      <c r="AU240" s="92"/>
      <c r="AV240" s="92"/>
      <c r="AW240" s="92"/>
      <c r="AX240" s="92"/>
      <c r="AY240" s="92"/>
      <c r="AZ240" s="92"/>
      <c r="BA240" s="92"/>
      <c r="BB240" s="92"/>
      <c r="BC240" s="92"/>
      <c r="BD240" s="92"/>
      <c r="BE240" s="92"/>
      <c r="BF240" s="92"/>
      <c r="BG240" s="92"/>
      <c r="BH240" s="92"/>
    </row>
    <row r="241" spans="1:60">
      <c r="A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c r="AG241" s="92"/>
      <c r="AH241" s="92"/>
      <c r="AI241" s="92"/>
      <c r="AJ241" s="92"/>
      <c r="AK241" s="92"/>
      <c r="AL241" s="92"/>
      <c r="AM241" s="92"/>
      <c r="AN241" s="92"/>
      <c r="AO241" s="92"/>
      <c r="AP241" s="92"/>
      <c r="AQ241" s="92"/>
      <c r="AR241" s="92"/>
      <c r="AS241" s="92"/>
      <c r="AT241" s="92"/>
      <c r="AU241" s="92"/>
      <c r="AV241" s="92"/>
      <c r="AW241" s="92"/>
      <c r="AX241" s="92"/>
      <c r="AY241" s="92"/>
      <c r="AZ241" s="92"/>
      <c r="BA241" s="92"/>
      <c r="BB241" s="92"/>
      <c r="BC241" s="92"/>
      <c r="BD241" s="92"/>
      <c r="BE241" s="92"/>
      <c r="BF241" s="92"/>
      <c r="BG241" s="92"/>
      <c r="BH241" s="92"/>
    </row>
    <row r="242" spans="1:60">
      <c r="A242" s="92"/>
      <c r="J242" s="92"/>
      <c r="K242" s="92"/>
      <c r="L242" s="92"/>
      <c r="M242" s="92"/>
      <c r="N242" s="92"/>
      <c r="O242" s="92"/>
      <c r="P242" s="92"/>
      <c r="Q242" s="92"/>
      <c r="R242" s="92"/>
      <c r="S242" s="92"/>
      <c r="T242" s="92"/>
      <c r="U242" s="92"/>
      <c r="V242" s="92"/>
      <c r="W242" s="92"/>
      <c r="X242" s="92"/>
      <c r="Y242" s="92"/>
      <c r="Z242" s="92"/>
      <c r="AA242" s="92"/>
      <c r="AB242" s="92"/>
      <c r="AC242" s="92"/>
      <c r="AD242" s="92"/>
      <c r="AE242" s="92"/>
      <c r="AF242" s="92"/>
      <c r="AG242" s="92"/>
      <c r="AH242" s="92"/>
      <c r="AI242" s="92"/>
      <c r="AJ242" s="92"/>
      <c r="AK242" s="92"/>
      <c r="AL242" s="92"/>
      <c r="AM242" s="92"/>
      <c r="AN242" s="92"/>
      <c r="AO242" s="92"/>
      <c r="AP242" s="92"/>
      <c r="AQ242" s="92"/>
      <c r="AR242" s="92"/>
      <c r="AS242" s="92"/>
      <c r="AT242" s="92"/>
      <c r="AU242" s="92"/>
      <c r="AV242" s="92"/>
      <c r="AW242" s="92"/>
      <c r="AX242" s="92"/>
      <c r="AY242" s="92"/>
      <c r="AZ242" s="92"/>
      <c r="BA242" s="92"/>
      <c r="BB242" s="92"/>
      <c r="BC242" s="92"/>
      <c r="BD242" s="92"/>
      <c r="BE242" s="92"/>
      <c r="BF242" s="92"/>
      <c r="BG242" s="92"/>
      <c r="BH242" s="92"/>
    </row>
    <row r="243" spans="1:60">
      <c r="A243" s="92"/>
      <c r="J243" s="92"/>
      <c r="K243" s="92"/>
      <c r="L243" s="92"/>
      <c r="M243" s="92"/>
      <c r="N243" s="92"/>
      <c r="O243" s="92"/>
      <c r="P243" s="92"/>
      <c r="Q243" s="92"/>
      <c r="R243" s="92"/>
      <c r="S243" s="92"/>
      <c r="T243" s="92"/>
      <c r="U243" s="92"/>
      <c r="V243" s="92"/>
      <c r="W243" s="92"/>
      <c r="X243" s="92"/>
      <c r="Y243" s="92"/>
      <c r="Z243" s="92"/>
      <c r="AA243" s="92"/>
      <c r="AB243" s="92"/>
      <c r="AC243" s="92"/>
      <c r="AD243" s="92"/>
      <c r="AE243" s="92"/>
      <c r="AF243" s="92"/>
      <c r="AG243" s="92"/>
      <c r="AH243" s="92"/>
      <c r="AI243" s="92"/>
      <c r="AJ243" s="92"/>
      <c r="AK243" s="92"/>
      <c r="AL243" s="92"/>
      <c r="AM243" s="92"/>
      <c r="AN243" s="92"/>
      <c r="AO243" s="92"/>
      <c r="AP243" s="92"/>
      <c r="AQ243" s="92"/>
      <c r="AR243" s="92"/>
      <c r="AS243" s="92"/>
      <c r="AT243" s="92"/>
      <c r="AU243" s="92"/>
      <c r="AV243" s="92"/>
      <c r="AW243" s="92"/>
      <c r="AX243" s="92"/>
      <c r="AY243" s="92"/>
      <c r="AZ243" s="92"/>
      <c r="BA243" s="92"/>
      <c r="BB243" s="92"/>
      <c r="BC243" s="92"/>
      <c r="BD243" s="92"/>
      <c r="BE243" s="92"/>
      <c r="BF243" s="92"/>
      <c r="BG243" s="92"/>
      <c r="BH243" s="92"/>
    </row>
    <row r="244" spans="1:60">
      <c r="A244" s="92"/>
      <c r="J244" s="92"/>
      <c r="K244" s="92"/>
      <c r="L244" s="92"/>
      <c r="M244" s="92"/>
      <c r="N244" s="92"/>
      <c r="O244" s="92"/>
      <c r="P244" s="92"/>
      <c r="Q244" s="92"/>
      <c r="R244" s="92"/>
      <c r="S244" s="92"/>
      <c r="T244" s="92"/>
      <c r="U244" s="92"/>
      <c r="V244" s="92"/>
      <c r="W244" s="92"/>
      <c r="X244" s="92"/>
      <c r="Y244" s="92"/>
      <c r="Z244" s="92"/>
      <c r="AA244" s="92"/>
      <c r="AB244" s="92"/>
      <c r="AC244" s="92"/>
      <c r="AD244" s="92"/>
      <c r="AE244" s="92"/>
      <c r="AF244" s="92"/>
      <c r="AG244" s="92"/>
      <c r="AH244" s="92"/>
      <c r="AI244" s="92"/>
      <c r="AJ244" s="92"/>
      <c r="AK244" s="92"/>
      <c r="AL244" s="92"/>
      <c r="AM244" s="92"/>
      <c r="AN244" s="92"/>
      <c r="AO244" s="92"/>
      <c r="AP244" s="92"/>
      <c r="AQ244" s="92"/>
      <c r="AR244" s="92"/>
      <c r="AS244" s="92"/>
      <c r="AT244" s="92"/>
      <c r="AU244" s="92"/>
      <c r="AV244" s="92"/>
      <c r="AW244" s="92"/>
      <c r="AX244" s="92"/>
      <c r="AY244" s="92"/>
      <c r="AZ244" s="92"/>
      <c r="BA244" s="92"/>
      <c r="BB244" s="92"/>
      <c r="BC244" s="92"/>
      <c r="BD244" s="92"/>
      <c r="BE244" s="92"/>
      <c r="BF244" s="92"/>
      <c r="BG244" s="92"/>
      <c r="BH244" s="92"/>
    </row>
    <row r="245" spans="1:60">
      <c r="A245" s="92"/>
    </row>
    <row r="246" spans="1:60">
      <c r="A246" s="92"/>
    </row>
    <row r="247" spans="1:60">
      <c r="A247" s="92"/>
    </row>
    <row r="248" spans="1:60">
      <c r="A248" s="92"/>
    </row>
  </sheetData>
  <mergeCells count="17">
    <mergeCell ref="B2:I4"/>
    <mergeCell ref="J2:AM4"/>
    <mergeCell ref="B6:D55"/>
    <mergeCell ref="E6:I15"/>
    <mergeCell ref="AO6:AT15"/>
    <mergeCell ref="E16:I25"/>
    <mergeCell ref="AO16:AT25"/>
    <mergeCell ref="E26:I35"/>
    <mergeCell ref="AO26:AT35"/>
    <mergeCell ref="E36:I45"/>
    <mergeCell ref="AO36:AT45"/>
    <mergeCell ref="E46:I55"/>
    <mergeCell ref="J56:O61"/>
    <mergeCell ref="P56:U61"/>
    <mergeCell ref="V56:AA61"/>
    <mergeCell ref="AB56:AG61"/>
    <mergeCell ref="AH56:AM6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77E1C-72FC-4C1B-919F-B3759E4D07A5}">
  <dimension ref="B1:F16"/>
  <sheetViews>
    <sheetView workbookViewId="0">
      <selection activeCell="I6" sqref="I6"/>
    </sheetView>
  </sheetViews>
  <sheetFormatPr defaultColWidth="14.28515625" defaultRowHeight="13.9"/>
  <cols>
    <col min="1" max="2" width="14.28515625" style="131"/>
    <col min="3" max="3" width="17" style="131" customWidth="1"/>
    <col min="4" max="4" width="14.28515625" style="131"/>
    <col min="5" max="5" width="46" style="131" customWidth="1"/>
    <col min="6" max="16384" width="14.28515625" style="131"/>
  </cols>
  <sheetData>
    <row r="1" spans="2:6" ht="18.600000000000001" thickBot="1">
      <c r="B1" s="469" t="s">
        <v>534</v>
      </c>
      <c r="C1" s="470"/>
      <c r="D1" s="470"/>
      <c r="E1" s="470"/>
      <c r="F1" s="471"/>
    </row>
    <row r="2" spans="2:6" ht="16.149999999999999" thickBot="1">
      <c r="B2" s="132"/>
      <c r="C2" s="132"/>
      <c r="D2" s="132"/>
      <c r="E2" s="132"/>
      <c r="F2" s="132"/>
    </row>
    <row r="3" spans="2:6" ht="16.149999999999999" thickBot="1">
      <c r="B3" s="472" t="s">
        <v>535</v>
      </c>
      <c r="C3" s="473"/>
      <c r="D3" s="473"/>
      <c r="E3" s="133" t="s">
        <v>536</v>
      </c>
      <c r="F3" s="134" t="s">
        <v>537</v>
      </c>
    </row>
    <row r="4" spans="2:6" ht="31.15">
      <c r="B4" s="474" t="s">
        <v>538</v>
      </c>
      <c r="C4" s="476" t="s">
        <v>539</v>
      </c>
      <c r="D4" s="135" t="s">
        <v>540</v>
      </c>
      <c r="E4" s="136" t="s">
        <v>541</v>
      </c>
      <c r="F4" s="137">
        <v>0.25</v>
      </c>
    </row>
    <row r="5" spans="2:6" ht="46.9">
      <c r="B5" s="475"/>
      <c r="C5" s="477"/>
      <c r="D5" s="138" t="s">
        <v>542</v>
      </c>
      <c r="E5" s="139" t="s">
        <v>543</v>
      </c>
      <c r="F5" s="140">
        <v>0.15</v>
      </c>
    </row>
    <row r="6" spans="2:6" ht="46.9">
      <c r="B6" s="475"/>
      <c r="C6" s="477"/>
      <c r="D6" s="138" t="s">
        <v>544</v>
      </c>
      <c r="E6" s="139" t="s">
        <v>545</v>
      </c>
      <c r="F6" s="140">
        <v>0.1</v>
      </c>
    </row>
    <row r="7" spans="2:6" ht="62.45">
      <c r="B7" s="475"/>
      <c r="C7" s="477" t="s">
        <v>546</v>
      </c>
      <c r="D7" s="138" t="s">
        <v>547</v>
      </c>
      <c r="E7" s="139" t="s">
        <v>548</v>
      </c>
      <c r="F7" s="140">
        <v>0.25</v>
      </c>
    </row>
    <row r="8" spans="2:6" ht="31.15">
      <c r="B8" s="475"/>
      <c r="C8" s="477"/>
      <c r="D8" s="138" t="s">
        <v>549</v>
      </c>
      <c r="E8" s="139" t="s">
        <v>550</v>
      </c>
      <c r="F8" s="140">
        <v>0.15</v>
      </c>
    </row>
    <row r="9" spans="2:6" ht="46.9">
      <c r="B9" s="475" t="s">
        <v>551</v>
      </c>
      <c r="C9" s="477" t="s">
        <v>552</v>
      </c>
      <c r="D9" s="138" t="s">
        <v>553</v>
      </c>
      <c r="E9" s="139" t="s">
        <v>554</v>
      </c>
      <c r="F9" s="141" t="s">
        <v>555</v>
      </c>
    </row>
    <row r="10" spans="2:6" ht="46.9">
      <c r="B10" s="475"/>
      <c r="C10" s="477"/>
      <c r="D10" s="138" t="s">
        <v>556</v>
      </c>
      <c r="E10" s="139" t="s">
        <v>557</v>
      </c>
      <c r="F10" s="141" t="s">
        <v>555</v>
      </c>
    </row>
    <row r="11" spans="2:6" ht="46.9">
      <c r="B11" s="475"/>
      <c r="C11" s="477" t="s">
        <v>558</v>
      </c>
      <c r="D11" s="138" t="s">
        <v>559</v>
      </c>
      <c r="E11" s="139" t="s">
        <v>560</v>
      </c>
      <c r="F11" s="141" t="s">
        <v>555</v>
      </c>
    </row>
    <row r="12" spans="2:6" ht="46.9">
      <c r="B12" s="475"/>
      <c r="C12" s="477"/>
      <c r="D12" s="138" t="s">
        <v>561</v>
      </c>
      <c r="E12" s="139" t="s">
        <v>562</v>
      </c>
      <c r="F12" s="141" t="s">
        <v>555</v>
      </c>
    </row>
    <row r="13" spans="2:6" ht="31.15">
      <c r="B13" s="475"/>
      <c r="C13" s="477" t="s">
        <v>563</v>
      </c>
      <c r="D13" s="138" t="s">
        <v>564</v>
      </c>
      <c r="E13" s="139" t="s">
        <v>565</v>
      </c>
      <c r="F13" s="141" t="s">
        <v>555</v>
      </c>
    </row>
    <row r="14" spans="2:6" ht="16.149999999999999" thickBot="1">
      <c r="B14" s="478"/>
      <c r="C14" s="479"/>
      <c r="D14" s="142" t="s">
        <v>566</v>
      </c>
      <c r="E14" s="143" t="s">
        <v>567</v>
      </c>
      <c r="F14" s="144" t="s">
        <v>555</v>
      </c>
    </row>
    <row r="15" spans="2:6" ht="41.1" customHeight="1">
      <c r="B15" s="468" t="s">
        <v>568</v>
      </c>
      <c r="C15" s="468"/>
      <c r="D15" s="468"/>
      <c r="E15" s="468"/>
      <c r="F15" s="468"/>
    </row>
    <row r="16" spans="2:6">
      <c r="B16" s="145"/>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22D9E8B6BF4B4E8C93CC7643F87C81" ma:contentTypeVersion="16" ma:contentTypeDescription="Crear nuevo documento." ma:contentTypeScope="" ma:versionID="5e2df699da1d35feae7af3012a7f93e6">
  <xsd:schema xmlns:xsd="http://www.w3.org/2001/XMLSchema" xmlns:xs="http://www.w3.org/2001/XMLSchema" xmlns:p="http://schemas.microsoft.com/office/2006/metadata/properties" xmlns:ns3="ec071e78-3a3e-4a2c-9878-2cba5a62ff21" xmlns:ns4="493f14cd-1a7c-4423-82ff-eb218761b278" targetNamespace="http://schemas.microsoft.com/office/2006/metadata/properties" ma:root="true" ma:fieldsID="97af338e3fe6b4e318939578580d98e9" ns3:_="" ns4:_="">
    <xsd:import namespace="ec071e78-3a3e-4a2c-9878-2cba5a62ff21"/>
    <xsd:import namespace="493f14cd-1a7c-4423-82ff-eb218761b278"/>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071e78-3a3e-4a2c-9878-2cba5a62ff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3f14cd-1a7c-4423-82ff-eb218761b27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c071e78-3a3e-4a2c-9878-2cba5a62ff21" xsi:nil="true"/>
  </documentManagement>
</p:properties>
</file>

<file path=customXml/itemProps1.xml><?xml version="1.0" encoding="utf-8"?>
<ds:datastoreItem xmlns:ds="http://schemas.openxmlformats.org/officeDocument/2006/customXml" ds:itemID="{4AE62B8E-1EA3-45FA-91BD-C9655CA23880}"/>
</file>

<file path=customXml/itemProps2.xml><?xml version="1.0" encoding="utf-8"?>
<ds:datastoreItem xmlns:ds="http://schemas.openxmlformats.org/officeDocument/2006/customXml" ds:itemID="{F7F5741A-2323-45BA-AF69-D2F6DE8E49A3}"/>
</file>

<file path=customXml/itemProps3.xml><?xml version="1.0" encoding="utf-8"?>
<ds:datastoreItem xmlns:ds="http://schemas.openxmlformats.org/officeDocument/2006/customXml" ds:itemID="{ECAD5452-517F-464D-82E5-6D1FFDADA10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TATIANA ANDREA MAYA</cp:lastModifiedBy>
  <cp:revision/>
  <dcterms:created xsi:type="dcterms:W3CDTF">2024-08-29T19:14:24Z</dcterms:created>
  <dcterms:modified xsi:type="dcterms:W3CDTF">2024-09-25T21:15:08Z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0x010100DF22D9E8B6BF4B4E8C93CC7643F87C81</vt:lpwstr>
  </property>
</Properties>
</file>